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chartEx2.xml" ContentType="application/vnd.ms-office.chartex+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defaultThemeVersion="166925"/>
  <mc:AlternateContent xmlns:mc="http://schemas.openxmlformats.org/markup-compatibility/2006">
    <mc:Choice Requires="x15">
      <x15ac:absPath xmlns:x15ac="http://schemas.microsoft.com/office/spreadsheetml/2010/11/ac" url="https://asplanviak-my.sharepoint.com/personal/oddbjorn_dahlstrom_asplanviak_no/Documents/Desktop/"/>
    </mc:Choice>
  </mc:AlternateContent>
  <xr:revisionPtr revIDLastSave="0" documentId="8_{B95E2C69-BBFD-4880-84B1-FD3FC1004D2A}" xr6:coauthVersionLast="47" xr6:coauthVersionMax="47" xr10:uidLastSave="{00000000-0000-0000-0000-000000000000}"/>
  <workbookProtection workbookAlgorithmName="SHA-512" workbookHashValue="qn9TuCQwN1hztMmJVsuXtOjBE/2UEOIUxGZt68rrF7LarnFcFHRZpGuz6C7MNMOwqdbGrYuDoCGtuiLCDelT0w==" workbookSaltValue="jpF71q8CrajBfSx9pidJuw==" workbookSpinCount="100000" lockStructure="1"/>
  <bookViews>
    <workbookView xWindow="-28920" yWindow="-3795" windowWidth="29040" windowHeight="15720" tabRatio="819" xr2:uid="{5BA4734F-4E38-45E9-8DA0-7671E909E761}"/>
  </bookViews>
  <sheets>
    <sheet name="Guide" sheetId="1" r:id="rId1"/>
    <sheet name="Verktøy" sheetId="5" r:id="rId2"/>
    <sheet name="Tabellinput" sheetId="12" state="hidden" r:id="rId3"/>
    <sheet name="Detaljerte resultater" sheetId="10" r:id="rId4"/>
    <sheet name="Utslippstall modellbygg" sheetId="6" r:id="rId5"/>
    <sheet name="Nedtrekksmenyer" sheetId="7" state="hidden" r:id="rId6"/>
    <sheet name="Modellbygg og utslippsfaktorer" sheetId="2" r:id="rId7"/>
    <sheet name="Løsningsvalg modellbygg" sheetId="3" r:id="rId8"/>
    <sheet name="Ulike krav &amp; sertifiseringer" sheetId="11" r:id="rId9"/>
    <sheet name="Definisjon av BTA, BRA og BYA" sheetId="4" r:id="rId10"/>
  </sheets>
  <externalReferences>
    <externalReference r:id="rId11"/>
  </externalReferences>
  <definedNames>
    <definedName name="_xlchart.v1.0" hidden="1">Verktøy!$C$66:$D$66</definedName>
    <definedName name="_xlchart.v1.1" hidden="1">Verktøy!$C$67:$D$67</definedName>
    <definedName name="_xlchart.v1.2" hidden="1">'[1]Reduksjon ide'!$E$27:$E$31</definedName>
    <definedName name="_xlchart.v1.3" hidden="1">'[1]Reduksjon ide'!$F$27:$F$31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6" l="1"/>
  <c r="AJ13" i="6"/>
  <c r="AK13" i="6"/>
  <c r="AH13" i="6"/>
  <c r="AE13" i="6"/>
  <c r="AF13" i="6"/>
  <c r="AG13" i="6"/>
  <c r="AD13" i="6"/>
  <c r="AA13" i="6"/>
  <c r="AB13" i="6"/>
  <c r="AC13" i="6"/>
  <c r="Z13" i="6"/>
  <c r="W13" i="6"/>
  <c r="X13" i="6"/>
  <c r="Y13" i="6"/>
  <c r="V13" i="6"/>
  <c r="BC27" i="6" l="1"/>
  <c r="BC26" i="6"/>
  <c r="BC25" i="6"/>
  <c r="BD27" i="6" l="1"/>
  <c r="BD26" i="6"/>
  <c r="BD25" i="6" l="1"/>
  <c r="U20" i="6"/>
  <c r="AT20" i="6"/>
  <c r="AU20" i="6"/>
  <c r="AV20" i="6"/>
  <c r="AW20" i="6"/>
  <c r="AX20" i="6"/>
  <c r="AY20" i="6"/>
  <c r="AZ20" i="6"/>
  <c r="BA20" i="6"/>
  <c r="R20" i="6"/>
  <c r="S20" i="6"/>
  <c r="T20" i="6"/>
  <c r="C20" i="6"/>
  <c r="D20" i="6"/>
  <c r="E20" i="6"/>
  <c r="F20" i="6"/>
  <c r="G20" i="6"/>
  <c r="H20" i="6"/>
  <c r="I20" i="6"/>
  <c r="J20" i="6"/>
  <c r="K20" i="6"/>
  <c r="L20" i="6"/>
  <c r="M20" i="6"/>
  <c r="N20" i="6"/>
  <c r="O20" i="6"/>
  <c r="P20" i="6"/>
  <c r="Q20" i="6"/>
  <c r="B20" i="6"/>
  <c r="G16" i="10" l="1"/>
  <c r="C21" i="5"/>
  <c r="D66" i="5" l="1"/>
  <c r="O25" i="5" l="1"/>
  <c r="AL121" i="6" l="1"/>
  <c r="AM121" i="6"/>
  <c r="AN121" i="6"/>
  <c r="AO121" i="6"/>
  <c r="AP121" i="6"/>
  <c r="AL61" i="6"/>
  <c r="AM61" i="6"/>
  <c r="AN61" i="6"/>
  <c r="AO61" i="6"/>
  <c r="AP61" i="6"/>
  <c r="AQ61" i="6" l="1"/>
  <c r="Q42" i="5"/>
  <c r="R42" i="5"/>
  <c r="S42" i="5"/>
  <c r="P42" i="5"/>
  <c r="P40" i="5"/>
  <c r="Q40" i="5"/>
  <c r="R40" i="5"/>
  <c r="S40" i="5"/>
  <c r="B55" i="5"/>
  <c r="F16" i="10"/>
  <c r="E16" i="10"/>
  <c r="D16" i="10"/>
  <c r="C16" i="10"/>
  <c r="G15" i="10"/>
  <c r="F15" i="10"/>
  <c r="E15" i="10"/>
  <c r="D15" i="10"/>
  <c r="C15" i="10"/>
  <c r="T42" i="5" l="1"/>
  <c r="C58" i="5" s="1"/>
  <c r="T40" i="5"/>
  <c r="C57" i="5" s="1"/>
  <c r="C4" i="12" l="1"/>
  <c r="E8" i="5" l="1"/>
  <c r="Q29" i="10" l="1"/>
  <c r="R29" i="10"/>
  <c r="S29" i="10"/>
  <c r="T29" i="10"/>
  <c r="J29" i="10"/>
  <c r="K29" i="10"/>
  <c r="L29" i="10"/>
  <c r="M29" i="10"/>
  <c r="G107" i="5"/>
  <c r="F106" i="5"/>
  <c r="G105" i="5"/>
  <c r="F105" i="5"/>
  <c r="E105" i="5"/>
  <c r="G104" i="5"/>
  <c r="F104" i="5"/>
  <c r="E104" i="5"/>
  <c r="G103" i="5"/>
  <c r="F103" i="5"/>
  <c r="E103" i="5"/>
  <c r="E102" i="5"/>
  <c r="D102" i="5"/>
  <c r="E101" i="5"/>
  <c r="D101" i="5"/>
  <c r="N29" i="10" l="1"/>
  <c r="U29" i="10"/>
  <c r="B5" i="12" l="1"/>
  <c r="D51" i="5"/>
  <c r="D4" i="12" s="1"/>
  <c r="D8" i="5" l="1"/>
  <c r="D59" i="6" l="1"/>
  <c r="C23" i="10"/>
  <c r="AP10" i="6" l="1"/>
  <c r="B4" i="10"/>
  <c r="F23" i="10"/>
  <c r="AP62" i="6"/>
  <c r="AP63" i="6"/>
  <c r="AP64" i="6"/>
  <c r="AP65" i="6"/>
  <c r="AP66" i="6"/>
  <c r="AP67" i="6"/>
  <c r="AP68" i="6"/>
  <c r="AP69" i="6"/>
  <c r="AP70" i="6"/>
  <c r="AP71" i="6"/>
  <c r="AP72" i="6"/>
  <c r="AP73" i="6"/>
  <c r="AP74" i="6"/>
  <c r="AP75" i="6"/>
  <c r="AP76" i="6"/>
  <c r="AP77" i="6"/>
  <c r="AP81" i="6"/>
  <c r="AP82" i="6"/>
  <c r="AP83" i="6"/>
  <c r="AP84" i="6"/>
  <c r="AP85" i="6"/>
  <c r="AP86" i="6"/>
  <c r="AP87" i="6"/>
  <c r="AP88" i="6"/>
  <c r="AP89" i="6"/>
  <c r="AP90" i="6"/>
  <c r="AP91" i="6"/>
  <c r="AP92" i="6"/>
  <c r="AP93" i="6"/>
  <c r="AP94" i="6"/>
  <c r="AP95" i="6"/>
  <c r="AP96" i="6"/>
  <c r="AP97" i="6"/>
  <c r="AP101" i="6"/>
  <c r="AP102" i="6"/>
  <c r="AP103" i="6"/>
  <c r="AP104" i="6"/>
  <c r="AP105" i="6"/>
  <c r="AP106" i="6"/>
  <c r="AP107" i="6"/>
  <c r="AP108" i="6"/>
  <c r="AP109" i="6"/>
  <c r="AP110" i="6"/>
  <c r="AP111" i="6"/>
  <c r="AP112" i="6"/>
  <c r="AP113" i="6"/>
  <c r="AP114" i="6"/>
  <c r="AP115" i="6"/>
  <c r="AP116" i="6"/>
  <c r="AP117" i="6"/>
  <c r="AP122" i="6"/>
  <c r="AP123" i="6"/>
  <c r="AP124" i="6"/>
  <c r="AP125" i="6"/>
  <c r="AP126" i="6"/>
  <c r="AP127" i="6"/>
  <c r="AP128" i="6"/>
  <c r="AP129" i="6"/>
  <c r="AP130" i="6"/>
  <c r="AP131" i="6"/>
  <c r="AP132" i="6"/>
  <c r="AP133" i="6"/>
  <c r="AP134" i="6"/>
  <c r="AP135" i="6"/>
  <c r="AP136" i="6"/>
  <c r="AP137" i="6"/>
  <c r="AP141" i="6"/>
  <c r="AP142" i="6"/>
  <c r="AP143" i="6"/>
  <c r="AP144" i="6"/>
  <c r="AP145" i="6"/>
  <c r="AP146" i="6"/>
  <c r="AP147" i="6"/>
  <c r="AP148" i="6"/>
  <c r="AP149" i="6"/>
  <c r="AP150" i="6"/>
  <c r="AP151" i="6"/>
  <c r="AP152" i="6"/>
  <c r="AP153" i="6"/>
  <c r="AP154" i="6"/>
  <c r="AP155" i="6"/>
  <c r="AP156" i="6"/>
  <c r="AP157" i="6"/>
  <c r="AQ60" i="6"/>
  <c r="AN62" i="6"/>
  <c r="AN63" i="6"/>
  <c r="AN64" i="6"/>
  <c r="AN65" i="6"/>
  <c r="AN66" i="6"/>
  <c r="AN67" i="6"/>
  <c r="AN68" i="6"/>
  <c r="AN69" i="6"/>
  <c r="AN70" i="6"/>
  <c r="AN71" i="6"/>
  <c r="AN72" i="6"/>
  <c r="AN73" i="6"/>
  <c r="AN74" i="6"/>
  <c r="AN75" i="6"/>
  <c r="AN76" i="6"/>
  <c r="AN77" i="6"/>
  <c r="AN81" i="6"/>
  <c r="AN82" i="6"/>
  <c r="AN83" i="6"/>
  <c r="AN84" i="6"/>
  <c r="AN85" i="6"/>
  <c r="AN86" i="6"/>
  <c r="AN87" i="6"/>
  <c r="AN88" i="6"/>
  <c r="AN89" i="6"/>
  <c r="AN90" i="6"/>
  <c r="AN91" i="6"/>
  <c r="AN92" i="6"/>
  <c r="AN93" i="6"/>
  <c r="AN94" i="6"/>
  <c r="AN95" i="6"/>
  <c r="AN96" i="6"/>
  <c r="AN97" i="6"/>
  <c r="AN101" i="6"/>
  <c r="AN102" i="6"/>
  <c r="AN103" i="6"/>
  <c r="AN104" i="6"/>
  <c r="AN105" i="6"/>
  <c r="AN106" i="6"/>
  <c r="AN107" i="6"/>
  <c r="AN108" i="6"/>
  <c r="AN109" i="6"/>
  <c r="AN110" i="6"/>
  <c r="AN111" i="6"/>
  <c r="AN112" i="6"/>
  <c r="AN113" i="6"/>
  <c r="AN114" i="6"/>
  <c r="AN115" i="6"/>
  <c r="AN116" i="6"/>
  <c r="AN117" i="6"/>
  <c r="AN122" i="6"/>
  <c r="AN123" i="6"/>
  <c r="AN124" i="6"/>
  <c r="AN125" i="6"/>
  <c r="AN126" i="6"/>
  <c r="AN127" i="6"/>
  <c r="AN128" i="6"/>
  <c r="AN129" i="6"/>
  <c r="AN130" i="6"/>
  <c r="AN131" i="6"/>
  <c r="AN132" i="6"/>
  <c r="AN133" i="6"/>
  <c r="AN134" i="6"/>
  <c r="AN135" i="6"/>
  <c r="AN136" i="6"/>
  <c r="AN137" i="6"/>
  <c r="AN141" i="6"/>
  <c r="AN142" i="6"/>
  <c r="AN143" i="6"/>
  <c r="AN144" i="6"/>
  <c r="AN145" i="6"/>
  <c r="AN146" i="6"/>
  <c r="AN147" i="6"/>
  <c r="AN148" i="6"/>
  <c r="AN149" i="6"/>
  <c r="AN150" i="6"/>
  <c r="AN151" i="6"/>
  <c r="AN152" i="6"/>
  <c r="AN153" i="6"/>
  <c r="AN154" i="6"/>
  <c r="AN155" i="6"/>
  <c r="AN156" i="6"/>
  <c r="AN157" i="6"/>
  <c r="AO60" i="6"/>
  <c r="AP60" i="6"/>
  <c r="AN60" i="6"/>
  <c r="AM62" i="6"/>
  <c r="AM63" i="6"/>
  <c r="AM64" i="6"/>
  <c r="AM65" i="6"/>
  <c r="AM66" i="6"/>
  <c r="AM67" i="6"/>
  <c r="AM68" i="6"/>
  <c r="AM69" i="6"/>
  <c r="AM70" i="6"/>
  <c r="AM71" i="6"/>
  <c r="AM72" i="6"/>
  <c r="AM73" i="6"/>
  <c r="AM74" i="6"/>
  <c r="AM75" i="6"/>
  <c r="AM76" i="6"/>
  <c r="AM77" i="6"/>
  <c r="AM81" i="6"/>
  <c r="AM82" i="6"/>
  <c r="AM83" i="6"/>
  <c r="AM84" i="6"/>
  <c r="AM85" i="6"/>
  <c r="AM86" i="6"/>
  <c r="AM87" i="6"/>
  <c r="AM88" i="6"/>
  <c r="AM89" i="6"/>
  <c r="AM90" i="6"/>
  <c r="AM91" i="6"/>
  <c r="AM92" i="6"/>
  <c r="AM93" i="6"/>
  <c r="AM94" i="6"/>
  <c r="AM95" i="6"/>
  <c r="AM96" i="6"/>
  <c r="AM97" i="6"/>
  <c r="AM101" i="6"/>
  <c r="AM102" i="6"/>
  <c r="AM103" i="6"/>
  <c r="AM104" i="6"/>
  <c r="AM105" i="6"/>
  <c r="AM106" i="6"/>
  <c r="AM107" i="6"/>
  <c r="AM108" i="6"/>
  <c r="AM109" i="6"/>
  <c r="AM110" i="6"/>
  <c r="AM111" i="6"/>
  <c r="AM112" i="6"/>
  <c r="AM113" i="6"/>
  <c r="AM114" i="6"/>
  <c r="AM115" i="6"/>
  <c r="AM116" i="6"/>
  <c r="AM117" i="6"/>
  <c r="AM122" i="6"/>
  <c r="AM123" i="6"/>
  <c r="AM124" i="6"/>
  <c r="AM125" i="6"/>
  <c r="AM126" i="6"/>
  <c r="AM127" i="6"/>
  <c r="AM128" i="6"/>
  <c r="AM129" i="6"/>
  <c r="AM130" i="6"/>
  <c r="AM131" i="6"/>
  <c r="AM132" i="6"/>
  <c r="AM133" i="6"/>
  <c r="AM134" i="6"/>
  <c r="AM135" i="6"/>
  <c r="AM136" i="6"/>
  <c r="AM137" i="6"/>
  <c r="AM141" i="6"/>
  <c r="AM142" i="6"/>
  <c r="AM143" i="6"/>
  <c r="AM144" i="6"/>
  <c r="AM145" i="6"/>
  <c r="AM146" i="6"/>
  <c r="AM147" i="6"/>
  <c r="AM148" i="6"/>
  <c r="AM149" i="6"/>
  <c r="AM150" i="6"/>
  <c r="AM151" i="6"/>
  <c r="AM152" i="6"/>
  <c r="AM153" i="6"/>
  <c r="AM154" i="6"/>
  <c r="AM155" i="6"/>
  <c r="AM156" i="6"/>
  <c r="AM157" i="6"/>
  <c r="AL62" i="6"/>
  <c r="AP14" i="6" s="1"/>
  <c r="AL63" i="6"/>
  <c r="AL64" i="6"/>
  <c r="AL65" i="6"/>
  <c r="AL66" i="6"/>
  <c r="AL67" i="6"/>
  <c r="AL68" i="6"/>
  <c r="AL69" i="6"/>
  <c r="AL70" i="6"/>
  <c r="AL71" i="6"/>
  <c r="AL72" i="6"/>
  <c r="AL73" i="6"/>
  <c r="AL74" i="6"/>
  <c r="AL75" i="6"/>
  <c r="AL76" i="6"/>
  <c r="AL77" i="6"/>
  <c r="AL81" i="6"/>
  <c r="AL82" i="6"/>
  <c r="AL83" i="6"/>
  <c r="AL84" i="6"/>
  <c r="AL85" i="6"/>
  <c r="AL86" i="6"/>
  <c r="AL87" i="6"/>
  <c r="AL88" i="6"/>
  <c r="AL89" i="6"/>
  <c r="AL90" i="6"/>
  <c r="AL91" i="6"/>
  <c r="AL92" i="6"/>
  <c r="AL93" i="6"/>
  <c r="AL94" i="6"/>
  <c r="AL95" i="6"/>
  <c r="AL96" i="6"/>
  <c r="AL97" i="6"/>
  <c r="AL101" i="6"/>
  <c r="AL102" i="6"/>
  <c r="AL103" i="6"/>
  <c r="AL104" i="6"/>
  <c r="AL105" i="6"/>
  <c r="AL106" i="6"/>
  <c r="AL107" i="6"/>
  <c r="AL108" i="6"/>
  <c r="AL109" i="6"/>
  <c r="AL110" i="6"/>
  <c r="AL111" i="6"/>
  <c r="AL112" i="6"/>
  <c r="AL113" i="6"/>
  <c r="AL114" i="6"/>
  <c r="AL115" i="6"/>
  <c r="AL116" i="6"/>
  <c r="AL117" i="6"/>
  <c r="AL122" i="6"/>
  <c r="AL123" i="6"/>
  <c r="AL124" i="6"/>
  <c r="AL125" i="6"/>
  <c r="AL126" i="6"/>
  <c r="AL127" i="6"/>
  <c r="AL128" i="6"/>
  <c r="AL129" i="6"/>
  <c r="AL130" i="6"/>
  <c r="AL131" i="6"/>
  <c r="AL132" i="6"/>
  <c r="AL133" i="6"/>
  <c r="AL134" i="6"/>
  <c r="AL135" i="6"/>
  <c r="AL136" i="6"/>
  <c r="AL137" i="6"/>
  <c r="AL141" i="6"/>
  <c r="AL142" i="6"/>
  <c r="AL143" i="6"/>
  <c r="AL144" i="6"/>
  <c r="AL145" i="6"/>
  <c r="AL146" i="6"/>
  <c r="AL147" i="6"/>
  <c r="AL148" i="6"/>
  <c r="AL149" i="6"/>
  <c r="AL150" i="6"/>
  <c r="AL151" i="6"/>
  <c r="AL152" i="6"/>
  <c r="AL153" i="6"/>
  <c r="AL154" i="6"/>
  <c r="AL155" i="6"/>
  <c r="AL156" i="6"/>
  <c r="AL157" i="6"/>
  <c r="AQ157" i="6"/>
  <c r="AO157" i="6"/>
  <c r="AQ156" i="6"/>
  <c r="AO156" i="6"/>
  <c r="AQ155" i="6"/>
  <c r="AO155" i="6"/>
  <c r="AQ154" i="6"/>
  <c r="AO154" i="6"/>
  <c r="AQ153" i="6"/>
  <c r="AO153" i="6"/>
  <c r="AQ152" i="6"/>
  <c r="AO152" i="6"/>
  <c r="AQ151" i="6"/>
  <c r="AO151" i="6"/>
  <c r="AQ150" i="6"/>
  <c r="AO150" i="6"/>
  <c r="AQ149" i="6"/>
  <c r="AO149" i="6"/>
  <c r="AQ148" i="6"/>
  <c r="AO148" i="6"/>
  <c r="AQ147" i="6"/>
  <c r="AO147" i="6"/>
  <c r="AQ146" i="6"/>
  <c r="AO146" i="6"/>
  <c r="AQ145" i="6"/>
  <c r="AO145" i="6"/>
  <c r="AQ144" i="6"/>
  <c r="AO144" i="6"/>
  <c r="AQ143" i="6"/>
  <c r="AO143" i="6"/>
  <c r="AQ142" i="6"/>
  <c r="AO142" i="6"/>
  <c r="AQ141" i="6"/>
  <c r="AO141" i="6"/>
  <c r="AQ137" i="6"/>
  <c r="AO137" i="6"/>
  <c r="AQ136" i="6"/>
  <c r="AO136" i="6"/>
  <c r="AQ135" i="6"/>
  <c r="AO135" i="6"/>
  <c r="AQ134" i="6"/>
  <c r="AO134" i="6"/>
  <c r="AQ133" i="6"/>
  <c r="AO133" i="6"/>
  <c r="AQ132" i="6"/>
  <c r="AO132" i="6"/>
  <c r="AQ131" i="6"/>
  <c r="AO131" i="6"/>
  <c r="AQ130" i="6"/>
  <c r="AO130" i="6"/>
  <c r="AQ129" i="6"/>
  <c r="AO129" i="6"/>
  <c r="AQ128" i="6"/>
  <c r="AO128" i="6"/>
  <c r="AQ127" i="6"/>
  <c r="AO127" i="6"/>
  <c r="AQ126" i="6"/>
  <c r="AO126" i="6"/>
  <c r="AQ125" i="6"/>
  <c r="AO125" i="6"/>
  <c r="AQ124" i="6"/>
  <c r="AO124" i="6"/>
  <c r="AQ123" i="6"/>
  <c r="AO123" i="6"/>
  <c r="AQ122" i="6"/>
  <c r="AO122" i="6"/>
  <c r="AQ121" i="6"/>
  <c r="AQ117" i="6"/>
  <c r="AO117" i="6"/>
  <c r="AQ116" i="6"/>
  <c r="AO116" i="6"/>
  <c r="AQ115" i="6"/>
  <c r="AO115" i="6"/>
  <c r="AQ114" i="6"/>
  <c r="AO114" i="6"/>
  <c r="AQ113" i="6"/>
  <c r="AO113" i="6"/>
  <c r="AQ112" i="6"/>
  <c r="AO112" i="6"/>
  <c r="AQ111" i="6"/>
  <c r="AO111" i="6"/>
  <c r="AQ110" i="6"/>
  <c r="AO110" i="6"/>
  <c r="AQ109" i="6"/>
  <c r="AO109" i="6"/>
  <c r="AQ108" i="6"/>
  <c r="AO108" i="6"/>
  <c r="AQ107" i="6"/>
  <c r="AO107" i="6"/>
  <c r="AQ106" i="6"/>
  <c r="AO106" i="6"/>
  <c r="AQ105" i="6"/>
  <c r="AO105" i="6"/>
  <c r="AQ104" i="6"/>
  <c r="AO104" i="6"/>
  <c r="AQ103" i="6"/>
  <c r="AO103" i="6"/>
  <c r="AQ102" i="6"/>
  <c r="AO102" i="6"/>
  <c r="AQ101" i="6"/>
  <c r="AO101" i="6"/>
  <c r="AQ97" i="6"/>
  <c r="AO97" i="6"/>
  <c r="AQ96" i="6"/>
  <c r="AO96" i="6"/>
  <c r="AQ95" i="6"/>
  <c r="AO95" i="6"/>
  <c r="AQ94" i="6"/>
  <c r="AO94" i="6"/>
  <c r="AQ93" i="6"/>
  <c r="AO93" i="6"/>
  <c r="AQ92" i="6"/>
  <c r="AO92" i="6"/>
  <c r="AQ91" i="6"/>
  <c r="AO91" i="6"/>
  <c r="AQ90" i="6"/>
  <c r="AO90" i="6"/>
  <c r="AQ89" i="6"/>
  <c r="AO89" i="6"/>
  <c r="AQ88" i="6"/>
  <c r="AO88" i="6"/>
  <c r="AQ87" i="6"/>
  <c r="AO87" i="6"/>
  <c r="AQ86" i="6"/>
  <c r="AO86" i="6"/>
  <c r="AQ85" i="6"/>
  <c r="AO85" i="6"/>
  <c r="AQ84" i="6"/>
  <c r="AO84" i="6"/>
  <c r="AQ83" i="6"/>
  <c r="AO83" i="6"/>
  <c r="AQ82" i="6"/>
  <c r="AO82" i="6"/>
  <c r="AQ81" i="6"/>
  <c r="AO81" i="6"/>
  <c r="AQ77" i="6"/>
  <c r="AO77" i="6"/>
  <c r="AQ76" i="6"/>
  <c r="AO76" i="6"/>
  <c r="AQ75" i="6"/>
  <c r="AO75" i="6"/>
  <c r="AQ74" i="6"/>
  <c r="AO74" i="6"/>
  <c r="AQ73" i="6"/>
  <c r="AO73" i="6"/>
  <c r="AQ72" i="6"/>
  <c r="AO72" i="6"/>
  <c r="AQ71" i="6"/>
  <c r="AO71" i="6"/>
  <c r="AQ70" i="6"/>
  <c r="AO70" i="6"/>
  <c r="AQ69" i="6"/>
  <c r="AO69" i="6"/>
  <c r="AQ68" i="6"/>
  <c r="AO68" i="6"/>
  <c r="AQ67" i="6"/>
  <c r="AO67" i="6"/>
  <c r="AQ66" i="6"/>
  <c r="AO66" i="6"/>
  <c r="AQ65" i="6"/>
  <c r="AO65" i="6"/>
  <c r="AQ64" i="6"/>
  <c r="AO64" i="6"/>
  <c r="AQ63" i="6"/>
  <c r="AO63" i="6"/>
  <c r="AQ62" i="6"/>
  <c r="AO62" i="6"/>
  <c r="AQ13" i="6"/>
  <c r="AR13" i="6"/>
  <c r="AS13" i="6"/>
  <c r="AP13" i="6"/>
  <c r="AX13" i="6"/>
  <c r="T28" i="10"/>
  <c r="S28" i="10"/>
  <c r="R28" i="10"/>
  <c r="Q28" i="10"/>
  <c r="T27" i="10"/>
  <c r="S27" i="10"/>
  <c r="R27" i="10"/>
  <c r="Q27" i="10"/>
  <c r="T26" i="10"/>
  <c r="S26" i="10"/>
  <c r="R26" i="10"/>
  <c r="Q26" i="10"/>
  <c r="T25" i="10"/>
  <c r="S25" i="10"/>
  <c r="R25" i="10"/>
  <c r="Q25" i="10"/>
  <c r="T24" i="10"/>
  <c r="S24" i="10"/>
  <c r="R24" i="10"/>
  <c r="Q24" i="10"/>
  <c r="U23" i="10"/>
  <c r="P21" i="10"/>
  <c r="M28" i="10"/>
  <c r="L28" i="10"/>
  <c r="K28" i="10"/>
  <c r="J28" i="10"/>
  <c r="M27" i="10"/>
  <c r="L27" i="10"/>
  <c r="K27" i="10"/>
  <c r="J27" i="10"/>
  <c r="M26" i="10"/>
  <c r="L26" i="10"/>
  <c r="K26" i="10"/>
  <c r="J26" i="10"/>
  <c r="M25" i="10"/>
  <c r="L25" i="10"/>
  <c r="K25" i="10"/>
  <c r="J25" i="10"/>
  <c r="M24" i="10"/>
  <c r="L24" i="10"/>
  <c r="K24" i="10"/>
  <c r="J24" i="10"/>
  <c r="N23" i="10"/>
  <c r="I21" i="10"/>
  <c r="E23" i="10"/>
  <c r="D23" i="10"/>
  <c r="B21" i="10"/>
  <c r="B45" i="5"/>
  <c r="S30" i="10" l="1"/>
  <c r="M30" i="10"/>
  <c r="R30" i="10"/>
  <c r="Q30" i="10"/>
  <c r="T30" i="10"/>
  <c r="J30" i="10"/>
  <c r="K30" i="10"/>
  <c r="L30" i="10"/>
  <c r="D6" i="10"/>
  <c r="Q27" i="5" s="1"/>
  <c r="E6" i="10"/>
  <c r="AP16" i="6"/>
  <c r="AQ18" i="6"/>
  <c r="AS16" i="6"/>
  <c r="AQ15" i="6"/>
  <c r="AR15" i="6"/>
  <c r="AR18" i="6"/>
  <c r="AR16" i="6"/>
  <c r="AQ16" i="6"/>
  <c r="AP17" i="6"/>
  <c r="AS14" i="6"/>
  <c r="AS17" i="6"/>
  <c r="AR14" i="6"/>
  <c r="AR17" i="6"/>
  <c r="AQ14" i="6"/>
  <c r="AQ17" i="6"/>
  <c r="AP15" i="6"/>
  <c r="AP18" i="6"/>
  <c r="AS15" i="6"/>
  <c r="AS18" i="6"/>
  <c r="N26" i="10"/>
  <c r="N25" i="10"/>
  <c r="G23" i="10"/>
  <c r="U27" i="10"/>
  <c r="N28" i="10"/>
  <c r="U25" i="10"/>
  <c r="U28" i="10"/>
  <c r="U26" i="10"/>
  <c r="F6" i="10"/>
  <c r="S27" i="5" s="1"/>
  <c r="N27" i="10"/>
  <c r="C6" i="10"/>
  <c r="P27" i="5" s="1"/>
  <c r="N24" i="10"/>
  <c r="U24" i="10"/>
  <c r="B23" i="5"/>
  <c r="AR20" i="6" l="1"/>
  <c r="AQ20" i="6"/>
  <c r="AS20" i="6"/>
  <c r="AP20" i="6"/>
  <c r="U30" i="10"/>
  <c r="N30" i="10"/>
  <c r="G6" i="10"/>
  <c r="R27" i="5"/>
  <c r="T27" i="5" l="1"/>
  <c r="B8" i="5"/>
  <c r="BA13" i="6" l="1"/>
  <c r="AZ13" i="6"/>
  <c r="AY13" i="6"/>
  <c r="AW13" i="6"/>
  <c r="AV13" i="6"/>
  <c r="AU13" i="6"/>
  <c r="AT13" i="6"/>
  <c r="AO13" i="6"/>
  <c r="AN13" i="6"/>
  <c r="AM13" i="6"/>
  <c r="AL13" i="6"/>
  <c r="U13" i="6"/>
  <c r="T13" i="6"/>
  <c r="S13" i="6"/>
  <c r="R13" i="6"/>
  <c r="Q13" i="6"/>
  <c r="P13" i="6"/>
  <c r="O13" i="6"/>
  <c r="N13" i="6"/>
  <c r="M13" i="6"/>
  <c r="L13" i="6"/>
  <c r="K13" i="6"/>
  <c r="J13" i="6"/>
  <c r="I13" i="6"/>
  <c r="H13" i="6"/>
  <c r="G13" i="6"/>
  <c r="F13" i="6"/>
  <c r="D13" i="6"/>
  <c r="E13" i="6"/>
  <c r="C13" i="6"/>
  <c r="B13" i="6"/>
  <c r="C24" i="10" l="1"/>
  <c r="E29" i="10"/>
  <c r="E12" i="10" s="1"/>
  <c r="R33" i="5" s="1"/>
  <c r="F29" i="10"/>
  <c r="F12" i="10" s="1"/>
  <c r="S33" i="5" s="1"/>
  <c r="D29" i="10"/>
  <c r="D12" i="10" s="1"/>
  <c r="Q33" i="5" s="1"/>
  <c r="C29" i="10"/>
  <c r="F24" i="10"/>
  <c r="C26" i="10"/>
  <c r="C25" i="10"/>
  <c r="E28" i="10"/>
  <c r="E11" i="10" s="1"/>
  <c r="R32" i="5" s="1"/>
  <c r="F25" i="10"/>
  <c r="F8" i="10" s="1"/>
  <c r="S29" i="5" s="1"/>
  <c r="C27" i="10"/>
  <c r="F27" i="10"/>
  <c r="F10" i="10" s="1"/>
  <c r="S31" i="5" s="1"/>
  <c r="D24" i="10"/>
  <c r="D25" i="10"/>
  <c r="D8" i="10" s="1"/>
  <c r="Q29" i="5" s="1"/>
  <c r="F28" i="10"/>
  <c r="F11" i="10" s="1"/>
  <c r="S32" i="5" s="1"/>
  <c r="C28" i="10"/>
  <c r="D26" i="10"/>
  <c r="D9" i="10" s="1"/>
  <c r="Q30" i="5" s="1"/>
  <c r="E25" i="10"/>
  <c r="E8" i="10" s="1"/>
  <c r="R29" i="5" s="1"/>
  <c r="E24" i="10"/>
  <c r="D28" i="10"/>
  <c r="D11" i="10" s="1"/>
  <c r="Q32" i="5" s="1"/>
  <c r="E26" i="10"/>
  <c r="E9" i="10" s="1"/>
  <c r="R30" i="5" s="1"/>
  <c r="F26" i="10"/>
  <c r="F9" i="10" s="1"/>
  <c r="S30" i="5" s="1"/>
  <c r="D27" i="10"/>
  <c r="D10" i="10" s="1"/>
  <c r="Q31" i="5" s="1"/>
  <c r="E27" i="10"/>
  <c r="E10" i="10" s="1"/>
  <c r="R31" i="5" s="1"/>
  <c r="E30" i="10" l="1"/>
  <c r="E13" i="10" s="1"/>
  <c r="F30" i="10"/>
  <c r="F13" i="10" s="1"/>
  <c r="F14" i="10" s="1"/>
  <c r="C30" i="10"/>
  <c r="D30" i="10"/>
  <c r="D13" i="10" s="1"/>
  <c r="D14" i="10" s="1"/>
  <c r="C12" i="10"/>
  <c r="P33" i="5" s="1"/>
  <c r="T33" i="5" s="1"/>
  <c r="G29" i="10"/>
  <c r="G25" i="10"/>
  <c r="C8" i="10"/>
  <c r="G8" i="10" s="1"/>
  <c r="C7" i="10"/>
  <c r="P28" i="5" s="1"/>
  <c r="G24" i="10"/>
  <c r="G28" i="10"/>
  <c r="C11" i="10"/>
  <c r="G11" i="10" s="1"/>
  <c r="D7" i="10"/>
  <c r="Q28" i="5" s="1"/>
  <c r="E7" i="10"/>
  <c r="R28" i="5" s="1"/>
  <c r="C9" i="10"/>
  <c r="G9" i="10" s="1"/>
  <c r="G26" i="10"/>
  <c r="F7" i="10"/>
  <c r="S28" i="5" s="1"/>
  <c r="G27" i="10"/>
  <c r="C10" i="10"/>
  <c r="R34" i="5" l="1"/>
  <c r="E14" i="10"/>
  <c r="R43" i="5"/>
  <c r="G12" i="10"/>
  <c r="R41" i="5"/>
  <c r="G10" i="10"/>
  <c r="P31" i="5"/>
  <c r="T31" i="5" s="1"/>
  <c r="P32" i="5"/>
  <c r="T32" i="5" s="1"/>
  <c r="G7" i="10"/>
  <c r="Q34" i="5"/>
  <c r="C13" i="10"/>
  <c r="G30" i="10"/>
  <c r="S34" i="5"/>
  <c r="T28" i="5"/>
  <c r="P30" i="5"/>
  <c r="T30" i="5" s="1"/>
  <c r="P29" i="5"/>
  <c r="T29" i="5" s="1"/>
  <c r="Q38" i="5" l="1"/>
  <c r="Q37" i="5" s="1"/>
  <c r="Q39" i="5"/>
  <c r="Q36" i="5" s="1"/>
  <c r="S38" i="5"/>
  <c r="S37" i="5" s="1"/>
  <c r="S39" i="5"/>
  <c r="S36" i="5" s="1"/>
  <c r="R38" i="5"/>
  <c r="R37" i="5" s="1"/>
  <c r="R39" i="5"/>
  <c r="R36" i="5" s="1"/>
  <c r="P34" i="5"/>
  <c r="C14" i="10"/>
  <c r="G14" i="10" s="1"/>
  <c r="S43" i="5"/>
  <c r="Q43" i="5"/>
  <c r="P43" i="5"/>
  <c r="Q41" i="5"/>
  <c r="S41" i="5"/>
  <c r="P41" i="5"/>
  <c r="G13" i="10"/>
  <c r="P38" i="5" l="1"/>
  <c r="P37" i="5" s="1"/>
  <c r="P39" i="5"/>
  <c r="T39" i="5" s="1"/>
  <c r="T36" i="5" s="1"/>
  <c r="T34" i="5"/>
  <c r="C55" i="5" s="1"/>
  <c r="D55" i="5" s="1"/>
  <c r="T41" i="5"/>
  <c r="T43" i="5"/>
  <c r="P36" i="5" l="1"/>
  <c r="T38" i="5"/>
  <c r="C56" i="5" s="1"/>
  <c r="C52" i="5" s="1"/>
  <c r="C67" i="5" s="1"/>
  <c r="C27" i="5"/>
  <c r="D58" i="5"/>
  <c r="D57" i="5"/>
  <c r="T37" i="5" l="1"/>
  <c r="C29" i="5" s="1"/>
  <c r="D56" i="5"/>
  <c r="D52" i="5" s="1"/>
  <c r="D5" i="12" l="1"/>
  <c r="D67" i="5"/>
  <c r="D68" i="5"/>
  <c r="C5" i="12"/>
  <c r="C6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 Lyslo Skullestad</author>
    <author xml:space="preserve"> </author>
  </authors>
  <commentList>
    <comment ref="H7" authorId="0" shapeId="0" xr:uid="{E7383F73-AFFF-43B0-BCF1-A64AFB11621E}">
      <text>
        <r>
          <rPr>
            <sz val="9"/>
            <color indexed="81"/>
            <rFont val="Tahoma"/>
            <family val="2"/>
          </rPr>
          <t>Kommenter forutsetninger ved behov</t>
        </r>
      </text>
    </comment>
    <comment ref="C11" authorId="1" shapeId="0" xr:uid="{4978CE58-9F96-4CDD-A2DA-F5101E445395}">
      <text>
        <r>
          <rPr>
            <sz val="9"/>
            <color indexed="81"/>
            <rFont val="Tahoma"/>
            <family val="2"/>
          </rPr>
          <t xml:space="preserve">Siden utslippsfaktor for industribygg i stor grad er avhengig av byggehøyde, og byggehøyden varierer i stor grad mellom ulike typer industribygg og prosjekt, må referanseverdien endres basert på planlagt byggehøyde (høyde fra overkant gulv på grunn til underkant TRP tak).
Som utgangspunkt benyttes byggets planlagte bebygd areal (BYA - se forklaring av begrep i egen arkfane)
OBS: i motsetning til referanseverdi for andre byggtyper som bruker BTA benyttes BYA og bygghøyde for industribygg.
</t>
        </r>
      </text>
    </comment>
    <comment ref="E19" authorId="0" shapeId="0" xr:uid="{0B004231-1E13-4158-8392-6D0BF3048030}">
      <text>
        <r>
          <rPr>
            <sz val="9"/>
            <color indexed="81"/>
            <rFont val="Tahoma"/>
            <family val="2"/>
          </rPr>
          <t>Fyll inn forventet antall timer bygget vil være i bruk i løpet av et år. Hvis du er usikker, se for eksempel retningslinjer for antall åpningsdager for ulike bygningskategorier i Futurebuilts regneregler for klimagassberegninger (finnes åpent tilgjengelig på internett). Det kan også medregnes utvidet brukstid utover normal åpningstid, for eksempel for bruk av skolebygg på kveldstid. Ved å inkludere utvidet åpningstid får man med effekten av merbruk/sambruk.</t>
        </r>
      </text>
    </comment>
    <comment ref="O37" authorId="1" shapeId="0" xr:uid="{2C4952E3-98E3-4C4F-9600-CD7CBE608333}">
      <text>
        <r>
          <rPr>
            <b/>
            <sz val="9"/>
            <color indexed="81"/>
            <rFont val="Tahoma"/>
            <family val="2"/>
          </rPr>
          <t xml:space="preserve"> :</t>
        </r>
        <r>
          <rPr>
            <sz val="9"/>
            <color indexed="81"/>
            <rFont val="Tahoma"/>
            <family val="2"/>
          </rPr>
          <t xml:space="preserve">
uten grunn og fundament</t>
        </r>
      </text>
    </comment>
    <comment ref="O38" authorId="1" shapeId="0" xr:uid="{EC440070-42C9-4C9B-9FAC-0728C02D3EAA}">
      <text>
        <r>
          <rPr>
            <b/>
            <sz val="9"/>
            <color indexed="81"/>
            <rFont val="Tahoma"/>
            <family val="2"/>
          </rPr>
          <t xml:space="preserve"> :</t>
        </r>
        <r>
          <rPr>
            <sz val="9"/>
            <color indexed="81"/>
            <rFont val="Tahoma"/>
            <family val="2"/>
          </rPr>
          <t xml:space="preserve">
uten grunn og fundament</t>
        </r>
      </text>
    </comment>
    <comment ref="O40" authorId="1" shapeId="0" xr:uid="{E434697F-974A-4DD6-A7E7-BEDAB7E31D49}">
      <text>
        <r>
          <rPr>
            <b/>
            <sz val="9"/>
            <color indexed="81"/>
            <rFont val="Tahoma"/>
            <family val="2"/>
          </rPr>
          <t xml:space="preserve"> :</t>
        </r>
        <r>
          <rPr>
            <sz val="9"/>
            <color indexed="81"/>
            <rFont val="Tahoma"/>
            <family val="2"/>
          </rPr>
          <t xml:space="preserve">
Uten grunn og fundament</t>
        </r>
      </text>
    </comment>
    <comment ref="O42" authorId="1" shapeId="0" xr:uid="{1BD0834A-C3F2-4768-8BF4-7DA72777CECE}">
      <text>
        <r>
          <rPr>
            <b/>
            <sz val="9"/>
            <color indexed="81"/>
            <rFont val="Tahoma"/>
            <family val="2"/>
          </rPr>
          <t xml:space="preserve"> :</t>
        </r>
        <r>
          <rPr>
            <sz val="9"/>
            <color indexed="81"/>
            <rFont val="Tahoma"/>
            <family val="2"/>
          </rPr>
          <t xml:space="preserve">
uten grunn og fundament</t>
        </r>
      </text>
    </comment>
  </commentList>
</comments>
</file>

<file path=xl/sharedStrings.xml><?xml version="1.0" encoding="utf-8"?>
<sst xmlns="http://schemas.openxmlformats.org/spreadsheetml/2006/main" count="1656" uniqueCount="613">
  <si>
    <t>Verktøy utviklet for DFØ av Asplan Viak</t>
  </si>
  <si>
    <t>INNDATA</t>
  </si>
  <si>
    <t>Velg bygningskategori ----&gt;</t>
  </si>
  <si>
    <t>Forretning/næringsbygg</t>
  </si>
  <si>
    <t>Forklaring</t>
  </si>
  <si>
    <t>Kommentar til innfylt parameter</t>
  </si>
  <si>
    <r>
      <t>m</t>
    </r>
    <r>
      <rPr>
        <b/>
        <vertAlign val="superscript"/>
        <sz val="11"/>
        <color rgb="FF000000"/>
        <rFont val="Calibri"/>
        <family val="2"/>
      </rPr>
      <t>2</t>
    </r>
    <r>
      <rPr>
        <b/>
        <sz val="11"/>
        <color rgb="FF000000"/>
        <rFont val="Calibri"/>
        <family val="2"/>
      </rPr>
      <t xml:space="preserve"> BTA</t>
    </r>
  </si>
  <si>
    <t>Kjeller, oppvarmet</t>
  </si>
  <si>
    <t>Totalt dekkeareal for oppvarmet kjeller</t>
  </si>
  <si>
    <t>Kjeller, uoppvarmet</t>
  </si>
  <si>
    <t>Totalt dekkeareal for uoppvarmet kjeller</t>
  </si>
  <si>
    <r>
      <t>m</t>
    </r>
    <r>
      <rPr>
        <b/>
        <vertAlign val="superscript"/>
        <sz val="11"/>
        <color rgb="FF000000"/>
        <rFont val="Calibri"/>
        <family val="2"/>
      </rPr>
      <t>2</t>
    </r>
    <r>
      <rPr>
        <b/>
        <sz val="11"/>
        <color rgb="FF000000"/>
        <rFont val="Calibri"/>
        <family val="2"/>
      </rPr>
      <t xml:space="preserve"> BYA</t>
    </r>
  </si>
  <si>
    <t>Se egen fane for forklaring</t>
  </si>
  <si>
    <t xml:space="preserve">Dybde til fjell </t>
  </si>
  <si>
    <t>m</t>
  </si>
  <si>
    <t>Beregner evt. nødvendig pelefundamentering</t>
  </si>
  <si>
    <t>Bruksareal</t>
  </si>
  <si>
    <r>
      <t>m</t>
    </r>
    <r>
      <rPr>
        <b/>
        <vertAlign val="superscript"/>
        <sz val="11"/>
        <color rgb="FF000000"/>
        <rFont val="Calibri"/>
        <family val="2"/>
      </rPr>
      <t>2</t>
    </r>
    <r>
      <rPr>
        <b/>
        <sz val="11"/>
        <color rgb="FF000000"/>
        <rFont val="Calibri"/>
        <family val="2"/>
      </rPr>
      <t xml:space="preserve"> BRA</t>
    </r>
  </si>
  <si>
    <t xml:space="preserve">Antall driftstimer per år </t>
  </si>
  <si>
    <t>timer</t>
  </si>
  <si>
    <t xml:space="preserve">Forventet brukstid per år </t>
  </si>
  <si>
    <t>Antall faste brukere</t>
  </si>
  <si>
    <t>personer</t>
  </si>
  <si>
    <t>Antall faste brukere daglig (på åpningsdager)</t>
  </si>
  <si>
    <t>Antall personbrukstimer</t>
  </si>
  <si>
    <t>pbt/år</t>
  </si>
  <si>
    <t>Faste brukere * Driftstimer (beregnes automatisk)</t>
  </si>
  <si>
    <t>REFERANSEUTSLIPPET FOR DETTE BYGGET ER:</t>
  </si>
  <si>
    <t>A1-A3</t>
  </si>
  <si>
    <t>A4</t>
  </si>
  <si>
    <t>A5</t>
  </si>
  <si>
    <t>B2</t>
  </si>
  <si>
    <t>B4</t>
  </si>
  <si>
    <t>SUM</t>
  </si>
  <si>
    <t>21 Grunn og fundamenter</t>
  </si>
  <si>
    <t>22 Bæresystemer</t>
  </si>
  <si>
    <t>23 Yttervegger</t>
  </si>
  <si>
    <t>24 Innervegger</t>
  </si>
  <si>
    <t>25 Dekker</t>
  </si>
  <si>
    <t>26 Yttertak</t>
  </si>
  <si>
    <t>Sum</t>
  </si>
  <si>
    <t>kg CO2 e/m2 BTA/år</t>
  </si>
  <si>
    <t>kg CO2 e/m2 BRA/år</t>
  </si>
  <si>
    <t>kg CO2 e/pbt/år</t>
  </si>
  <si>
    <t>JA</t>
  </si>
  <si>
    <t>Referansenivå</t>
  </si>
  <si>
    <t>Velg bygningskategori</t>
  </si>
  <si>
    <t>Kontorbygg</t>
  </si>
  <si>
    <t>Boligblokk</t>
  </si>
  <si>
    <t>Skolebygg</t>
  </si>
  <si>
    <t>Sykehjem</t>
  </si>
  <si>
    <t>Småhus</t>
  </si>
  <si>
    <t>Industri</t>
  </si>
  <si>
    <t>Velg alternativ</t>
  </si>
  <si>
    <t>NEI</t>
  </si>
  <si>
    <t xml:space="preserve">Lavutslippsalternativer for bæresystemer </t>
  </si>
  <si>
    <t>Lavutslippsalternativer for bæresystemer</t>
  </si>
  <si>
    <t>Lavutslippsalternativer for yttervegger</t>
  </si>
  <si>
    <t xml:space="preserve">Lavutslippsalternativer for dekker </t>
  </si>
  <si>
    <t>Lavutslippsalternativer for innervegger</t>
  </si>
  <si>
    <t>Lavutslippsalterntiver for innervegger</t>
  </si>
  <si>
    <t xml:space="preserve"> </t>
  </si>
  <si>
    <t>Lavutslippsalternativer for yttertak</t>
  </si>
  <si>
    <t>Rehabilitering av eksisterende bygg, evt. ombruk av bæresystemer og dekker</t>
  </si>
  <si>
    <t>Utslippstall modellbygg</t>
  </si>
  <si>
    <t>Referanseverdier</t>
  </si>
  <si>
    <t>Oppvarmet kjeller</t>
  </si>
  <si>
    <t>Uoppvarmet kjeller</t>
  </si>
  <si>
    <t>Grunn og fundamenter</t>
  </si>
  <si>
    <t>Materiale</t>
  </si>
  <si>
    <t>Enhet</t>
  </si>
  <si>
    <t>Stålkjernepel</t>
  </si>
  <si>
    <t>kg CO2 ekv/BTA/dybde til fjell</t>
  </si>
  <si>
    <t>Betong, gysemasse</t>
  </si>
  <si>
    <t>Betong, bunnplate</t>
  </si>
  <si>
    <t>kg CO2 ekv/BYA</t>
  </si>
  <si>
    <t>Referanse</t>
  </si>
  <si>
    <t>Kommentar</t>
  </si>
  <si>
    <t>Bygnings­kategori</t>
  </si>
  <si>
    <t xml:space="preserve">Grunnflate </t>
  </si>
  <si>
    <t>Antall</t>
  </si>
  <si>
    <t xml:space="preserve">Oppvarmet areal </t>
  </si>
  <si>
    <t>Bruttoareal</t>
  </si>
  <si>
    <t>Areal­andel vinduer/‌dører av oppvarmet areal</t>
  </si>
  <si>
    <t>Armering, spenn</t>
  </si>
  <si>
    <t>kg CO2 ekv/kg</t>
  </si>
  <si>
    <t xml:space="preserve">m² </t>
  </si>
  <si>
    <t xml:space="preserve"> etasjer</t>
  </si>
  <si>
    <r>
      <t>m²</t>
    </r>
    <r>
      <rPr>
        <vertAlign val="superscript"/>
        <sz val="10"/>
        <color theme="1"/>
        <rFont val="Calibri"/>
        <family val="2"/>
        <scheme val="minor"/>
      </rPr>
      <t xml:space="preserve"> </t>
    </r>
  </si>
  <si>
    <t>m²</t>
  </si>
  <si>
    <t>Armeringsstål</t>
  </si>
  <si>
    <t>300 (10x30)</t>
  </si>
  <si>
    <t>Avrettingsmasse</t>
  </si>
  <si>
    <t>kg CO2 e/kg</t>
  </si>
  <si>
    <t>1200 (20 x 60)</t>
  </si>
  <si>
    <t>Betong, B35</t>
  </si>
  <si>
    <t>kg CO2 ekv/m3</t>
  </si>
  <si>
    <t>Skolebygning</t>
  </si>
  <si>
    <t>Betong, B45</t>
  </si>
  <si>
    <t>Forretningsbygning</t>
  </si>
  <si>
    <t>EPS, 80, 16 kg/m3</t>
  </si>
  <si>
    <t>kg CO2 e/m3</t>
  </si>
  <si>
    <t>EPS 80, 16 kg/m3</t>
  </si>
  <si>
    <t>Ingen endring fra referanse</t>
  </si>
  <si>
    <t>80 (10 x 8)</t>
  </si>
  <si>
    <t>Flislim</t>
  </si>
  <si>
    <t>Gipsplate, gulv, 13 mm</t>
  </si>
  <si>
    <t>kg CO2 ekv/m2</t>
  </si>
  <si>
    <t>Gipsplate, standard</t>
  </si>
  <si>
    <t>Hulldekke</t>
  </si>
  <si>
    <t>Innerdør</t>
  </si>
  <si>
    <t>kg CO2 e/m2</t>
  </si>
  <si>
    <t>Konstruksjonsstål, hulprofil</t>
  </si>
  <si>
    <t>Konstruksjonsstål, valseprofil</t>
  </si>
  <si>
    <t>Limtre</t>
  </si>
  <si>
    <t>Linoleum</t>
  </si>
  <si>
    <t>Mineralull, innervegg</t>
  </si>
  <si>
    <t>Snitt av Paroc og Rockwool</t>
  </si>
  <si>
    <t>Mineralull, trykkfast tak</t>
  </si>
  <si>
    <t>Steinull, 80 kg/m3</t>
  </si>
  <si>
    <t>Mineralull, yttervegg</t>
  </si>
  <si>
    <t>Stenull, 50 kg/m3</t>
  </si>
  <si>
    <t>Mørtel, tegl</t>
  </si>
  <si>
    <t>Parkett</t>
  </si>
  <si>
    <t>Pukk</t>
  </si>
  <si>
    <t>Takstein</t>
  </si>
  <si>
    <t>Tegl</t>
  </si>
  <si>
    <t>Teppe</t>
  </si>
  <si>
    <t>Trinnlydsplate, glassull, 20 mm</t>
  </si>
  <si>
    <t>Utvendig GU-X</t>
  </si>
  <si>
    <t>Utvendig kledning, maling</t>
  </si>
  <si>
    <t>Antar 21 mm tykkelse</t>
  </si>
  <si>
    <t>Vinyl</t>
  </si>
  <si>
    <t>Kontor</t>
  </si>
  <si>
    <t>Løsningsvalg modellbygg</t>
  </si>
  <si>
    <t>Kommentar til løsningsvalg</t>
  </si>
  <si>
    <t>Løsningsvalg, modellbygg</t>
  </si>
  <si>
    <t>Skole</t>
  </si>
  <si>
    <t>Forretning</t>
  </si>
  <si>
    <t>Kjeller</t>
  </si>
  <si>
    <t>Element</t>
  </si>
  <si>
    <t>Valgte løsninger</t>
  </si>
  <si>
    <t>Valgte løsninger oppvarmet</t>
  </si>
  <si>
    <t>Valgte løsninger ikke oppvarmet</t>
  </si>
  <si>
    <t>Bære-systemer</t>
  </si>
  <si>
    <t>Søyler</t>
  </si>
  <si>
    <t xml:space="preserve">Stålsøyler (hulprofil) </t>
  </si>
  <si>
    <t>3.3 kg/m² BTA</t>
  </si>
  <si>
    <t>Betongsøyler og -bjelker i 1 etg, resten stålsøyler og -bjelker. Betongbjelker i 1 etg pga. betongsøyler. Blir 33%/67% betong og stål, siden bygget har tre etasjer</t>
  </si>
  <si>
    <t>4.2 kg/m² BTA</t>
  </si>
  <si>
    <t>Stålsøyler og -bjelker i hele konstruksjonen, alle etasjer like</t>
  </si>
  <si>
    <t>4.1 kg/m² BTA</t>
  </si>
  <si>
    <t>Betongsøyler og -bjelker i 1 etg, resten stålsøyler og -bjelker. Betongbjelker i 1 etg pga. betongsøyler. Blir altså 50/50 betong og stål, siden bygget har to etasjer</t>
  </si>
  <si>
    <t>1 kg/m² BTA</t>
  </si>
  <si>
    <t>5.8 kg/m² BTA</t>
  </si>
  <si>
    <t>Stålsøyler i hele bygget, siden det antas at det ikke er så stor forskjell på de 2 etg.</t>
  </si>
  <si>
    <t>18.5 kg/m² BTA</t>
  </si>
  <si>
    <t>Betongsøyler og -bjelker i hele konstruksjonen, alle etasjer like</t>
  </si>
  <si>
    <t>Betongsøyler</t>
  </si>
  <si>
    <t>6.1 kg/m² BTA</t>
  </si>
  <si>
    <t>3.9 kg/m² BTA</t>
  </si>
  <si>
    <t>1.9 kg/m² BTA</t>
  </si>
  <si>
    <t>Bjelker</t>
  </si>
  <si>
    <t xml:space="preserve">Stålbjelker (valseprofil) </t>
  </si>
  <si>
    <t>12.9 kg/m² BTA</t>
  </si>
  <si>
    <t>21.1 kg/m² BTA</t>
  </si>
  <si>
    <t>19.2 kg/m² BTA</t>
  </si>
  <si>
    <t>7.1 kg/m² BTA</t>
  </si>
  <si>
    <t>6 kg/m² BTA</t>
  </si>
  <si>
    <t>17.7 kg/m² BTA</t>
  </si>
  <si>
    <t>116.8 kg/m² BTA</t>
  </si>
  <si>
    <t xml:space="preserve">Betongbjelker </t>
  </si>
  <si>
    <t>38.5 kg/m² BTA</t>
  </si>
  <si>
    <t>23.4 kg/m² BTA</t>
  </si>
  <si>
    <t>22.3 kg/m² BTA</t>
  </si>
  <si>
    <t>2.9 kg/m² BTA</t>
  </si>
  <si>
    <t>Ytter-vegger</t>
  </si>
  <si>
    <t>Bærende yttervegg</t>
  </si>
  <si>
    <t>Betongvegg 200mm, mineralull, utvendig vindsperre (GU-X), utlekting, maling på innside</t>
  </si>
  <si>
    <t>250 mm steinull
12% av YOM</t>
  </si>
  <si>
    <t>250 mm steinull
14% av YOM</t>
  </si>
  <si>
    <t>250 mm steinull
5,7 % av YOM</t>
  </si>
  <si>
    <t>250 mm steinull
11% av YOM</t>
  </si>
  <si>
    <t>250 mm steinull
6,7% av YOM</t>
  </si>
  <si>
    <t>Betongvegg, sandwich, 90mm+80mm, vanntett bitumenplate, 190 mm EPS</t>
  </si>
  <si>
    <t>100% av YUM</t>
  </si>
  <si>
    <t>Trebjelker</t>
  </si>
  <si>
    <t>8.4 kg/m² BTA</t>
  </si>
  <si>
    <t>Inner-vegger</t>
  </si>
  <si>
    <t>Innervegger</t>
  </si>
  <si>
    <t>Betongvegg 150mm</t>
  </si>
  <si>
    <t>1750 m2 INV</t>
  </si>
  <si>
    <t>175,0 m2 INV</t>
  </si>
  <si>
    <t>For oppvarmet bygg er det lagt til samme mengde innervegger som for kontorbygg over bakken. Alle innervegger er endret til 150 mm betongvegger. For ikke oppvarmet kjeller er det antatt 10% av innervegger for kontorbygg over bakken.</t>
  </si>
  <si>
    <t>Lettklinker 200 mm, mineralull, utvendig vindsperre (GU-X), utlekting, dampsperre, mørtel mellom lettklinker, mørtel og maling på innside</t>
  </si>
  <si>
    <t>250 mm steinull
6 % av YOM</t>
  </si>
  <si>
    <t>250 mm steinull
8 % av YOM</t>
  </si>
  <si>
    <t>250 mm steinull
10 % av YOM</t>
  </si>
  <si>
    <t>250 mm steinull
6,7 % av YOM</t>
  </si>
  <si>
    <t>Kledning og overflate</t>
  </si>
  <si>
    <t>Maling på gips</t>
  </si>
  <si>
    <t>100 % av gipsvegg</t>
  </si>
  <si>
    <t>Sparkel på gipsvegg er ikke inkludert</t>
  </si>
  <si>
    <t>250 mm steinull
4 % av YOM</t>
  </si>
  <si>
    <t>Murpuss + maling på betongvegg</t>
  </si>
  <si>
    <t>100% av betongvegg</t>
  </si>
  <si>
    <t>Ikke-bærende yttervegg</t>
  </si>
  <si>
    <t>Klimavegg m/utvendig vindsperre (GU-X), bindingsverk med trestender og mineralull, dampsperre, 1 lag innvendig gips</t>
  </si>
  <si>
    <t>250 mm steinull
33 % av YOM</t>
  </si>
  <si>
    <t>Steinull.</t>
  </si>
  <si>
    <t>250 mm steinull
47 % av YOM</t>
  </si>
  <si>
    <t>Steinull. Murplate på innsiden av tegl er nødvendig og inkludert i mineralull her</t>
  </si>
  <si>
    <t>Klimavegg m/utvendig GU, bindingsverk med trestender og glassull, 1 lag innvendig gips</t>
  </si>
  <si>
    <t>250 mm isolasjon
38,3 % av YOM</t>
  </si>
  <si>
    <t>Steinull</t>
  </si>
  <si>
    <t>250 mm steinull
27 % av YOM</t>
  </si>
  <si>
    <t>250 mm steinull
49 % av YOM (801 m2)</t>
  </si>
  <si>
    <t xml:space="preserve">Steinull. Murplate på innsiden av tegl er nødvendig og inkludert i mineralull her. </t>
  </si>
  <si>
    <t>Dekker</t>
  </si>
  <si>
    <t>Frittbærende dekker</t>
  </si>
  <si>
    <t xml:space="preserve">265mm betong hulldekke </t>
  </si>
  <si>
    <t>100% av (BTA-BYA)</t>
  </si>
  <si>
    <t>250 mm steinull
80 % av YOM</t>
  </si>
  <si>
    <t>Gulv på grunn</t>
  </si>
  <si>
    <t>Betong, dampsperre/radonsperre</t>
  </si>
  <si>
    <t>ikke inkludert</t>
  </si>
  <si>
    <t>Gulv på grunn er ikke inkludert for kjeller. Gulv på grunn er inkludert for kontor, boligblokk, skole og forretningsbygg.</t>
  </si>
  <si>
    <t>Glassfasader/</t>
  </si>
  <si>
    <t>Glassfasade</t>
  </si>
  <si>
    <t>6% av YOM</t>
  </si>
  <si>
    <t>Glassfasade benyttes ved inngangsparti/1. etg.</t>
  </si>
  <si>
    <t>7,1% av YOM</t>
  </si>
  <si>
    <t>Glassfasade benyttes ofte ved inngangsparti/1. etg, (andel kommer fra Isy Calcus, som hadde 5 % for barneskole og 14 % for ungdomsskole, valgte en middelverdi)</t>
  </si>
  <si>
    <t>9 % av YOM</t>
  </si>
  <si>
    <t>0 % av YOM</t>
  </si>
  <si>
    <t>Påstøp</t>
  </si>
  <si>
    <t>50 mm armert påstøp + 20 mm avrettingsmasse</t>
  </si>
  <si>
    <t>100% av dekker</t>
  </si>
  <si>
    <t>vinduer</t>
  </si>
  <si>
    <t>Trevinduer med alukledning, 3 lag</t>
  </si>
  <si>
    <t>42% av YOM</t>
  </si>
  <si>
    <t>25% av BRA = 42 % av YOM</t>
  </si>
  <si>
    <t>30% av YOM</t>
  </si>
  <si>
    <t>25% av BRA = 30 % av YOM</t>
  </si>
  <si>
    <t>41,4% av YOM</t>
  </si>
  <si>
    <t>25% av BRA = 41,38 % av YOM</t>
  </si>
  <si>
    <t>41% av YOM</t>
  </si>
  <si>
    <t>25% av BRA = 41 % av YOM</t>
  </si>
  <si>
    <t>36% av YOM</t>
  </si>
  <si>
    <t>25% av BRA = 36 % av YOM. 600 m2</t>
  </si>
  <si>
    <t>Gulv-overflate</t>
  </si>
  <si>
    <t>70 % av BRA</t>
  </si>
  <si>
    <t>7 % av BRA</t>
  </si>
  <si>
    <t>Utvendig kledning</t>
  </si>
  <si>
    <t>Tegl, inkl mørtel</t>
  </si>
  <si>
    <t>35 % av YOM (70% av tettfelt)</t>
  </si>
  <si>
    <t>Tegl, inkl. mørtel mellom murstein. 0,02 m3 tørr mørtel / m2 murvegg. Isolasjon er ikke med her, dette er med i klimavegg</t>
  </si>
  <si>
    <t>48 % av YOM (70% av tettfelt)</t>
  </si>
  <si>
    <t>Tegl,  inkl. mørtel mellom murstein. 0,02 m3 tørr mørtel / m2 murvegg. Isolasjon er ikke med her, dette er med i klimavegg</t>
  </si>
  <si>
    <t>30 % av YOM</t>
  </si>
  <si>
    <t>32 % av YOM (50% av tettfelt)</t>
  </si>
  <si>
    <t>15% av YOM</t>
  </si>
  <si>
    <t>25% av BRA = 15 % av YOM.</t>
  </si>
  <si>
    <t>47 % av YOM (70% av tettfelt)</t>
  </si>
  <si>
    <t>15 % av BRA</t>
  </si>
  <si>
    <t>1 % av BRA</t>
  </si>
  <si>
    <t>Fibersementplate</t>
  </si>
  <si>
    <t>15 % av YOM (30% av tettfelt)</t>
  </si>
  <si>
    <t>Malt trekledning</t>
  </si>
  <si>
    <t>21 % av YOM (30% av tettfelt)</t>
  </si>
  <si>
    <t>Trekledning</t>
  </si>
  <si>
    <t>20 % av YOM</t>
  </si>
  <si>
    <t>0% av tettfelt</t>
  </si>
  <si>
    <t>20 % av YOM (30% av tettfelt)</t>
  </si>
  <si>
    <t>10% av BRA</t>
  </si>
  <si>
    <t>1% av BRA</t>
  </si>
  <si>
    <t>Dører</t>
  </si>
  <si>
    <t>Ytterdører i stål</t>
  </si>
  <si>
    <t>1% av YOM</t>
  </si>
  <si>
    <t>1,72% av YOM</t>
  </si>
  <si>
    <t>Malet trekledning</t>
  </si>
  <si>
    <t>100% av tettfelt</t>
  </si>
  <si>
    <t>Endret til 100% trekledning</t>
  </si>
  <si>
    <t>1,6% av YOM</t>
  </si>
  <si>
    <t>Kermaisk flis, flislim og membran</t>
  </si>
  <si>
    <t>5 % av BRA</t>
  </si>
  <si>
    <t>Bærende innervegger</t>
  </si>
  <si>
    <t>13% av INV</t>
  </si>
  <si>
    <t>19% av INV</t>
  </si>
  <si>
    <t>12% av INV</t>
  </si>
  <si>
    <t>0% av INV</t>
  </si>
  <si>
    <t>2,2 % av YOM</t>
  </si>
  <si>
    <t>10% av INV</t>
  </si>
  <si>
    <t>90 % av BRA</t>
  </si>
  <si>
    <t>Betongvegg 250mm</t>
  </si>
  <si>
    <t>2% av INV</t>
  </si>
  <si>
    <t>Betongvegg heissjakt</t>
  </si>
  <si>
    <t>3% av INV</t>
  </si>
  <si>
    <t>Lagt til betongvegg heissjakt. 84 m2</t>
  </si>
  <si>
    <t>Faste himlinger og overflate-behandling</t>
  </si>
  <si>
    <t>Fast gipshimling, malt</t>
  </si>
  <si>
    <t>50 % av BRA</t>
  </si>
  <si>
    <t>Lettklinker</t>
  </si>
  <si>
    <t>7% av INV</t>
  </si>
  <si>
    <t>10 % av INV</t>
  </si>
  <si>
    <t>30% av INV</t>
  </si>
  <si>
    <t>System-himlinger</t>
  </si>
  <si>
    <t>Systemhimling + stålprofiler</t>
  </si>
  <si>
    <t>20 mm mineralullplater
50% av BRA</t>
  </si>
  <si>
    <t>Ikke-bærende innervegger</t>
  </si>
  <si>
    <t>100mm bindingsverksvegg, mineralull, 1 lag gips hver side, stålstender</t>
  </si>
  <si>
    <t>100 mm steinull
60% av INV</t>
  </si>
  <si>
    <t>100 mm steinull
54% av INV</t>
  </si>
  <si>
    <t>Steinull mer vanlig enn glassull.</t>
  </si>
  <si>
    <t>100mm gipsplatevegg 1 lag gips hver side, stålstender</t>
  </si>
  <si>
    <t>100 mm steinull
63% av INV</t>
  </si>
  <si>
    <t xml:space="preserve">Steinull mer vanlig enn glassull. </t>
  </si>
  <si>
    <t>100 mm steinull
80% av INV</t>
  </si>
  <si>
    <t>Systemvegger, glassfelt</t>
  </si>
  <si>
    <t>Glass front systemvegg</t>
  </si>
  <si>
    <t>20% av INV</t>
  </si>
  <si>
    <t>4% av INV</t>
  </si>
  <si>
    <t>5% av INV</t>
  </si>
  <si>
    <t>Murpuss + maling på betong og lettklinker</t>
  </si>
  <si>
    <t>Murpuss + maling på betong</t>
  </si>
  <si>
    <t>Murpuss + maling på lettklinker</t>
  </si>
  <si>
    <t>100% av betong og lettklinkervegg</t>
  </si>
  <si>
    <t>8,5% av INV</t>
  </si>
  <si>
    <t>Keramisk flis på toaletter.</t>
  </si>
  <si>
    <t>15% av INV</t>
  </si>
  <si>
    <t>Våtromsvinyl</t>
  </si>
  <si>
    <t>Vinyl på toaletter.</t>
  </si>
  <si>
    <t>Tredører</t>
  </si>
  <si>
    <t>8% av INV</t>
  </si>
  <si>
    <t>26% av INV</t>
  </si>
  <si>
    <t>Keramisk flis på bad</t>
  </si>
  <si>
    <t>265mm betong hulldekke</t>
  </si>
  <si>
    <t>100mm betong + 200mm EPS
100% av BYA</t>
  </si>
  <si>
    <t>Benyttet 100 mm bunnplate og 200 mm EPS når det ikke er behov for ekstra fundamentering.</t>
  </si>
  <si>
    <t>9% av INV</t>
  </si>
  <si>
    <t>Ekstra lag 20 mm glassull lå inne i One Click, dette er fjernet</t>
  </si>
  <si>
    <t>Trebjelkelag, 225mm glassull</t>
  </si>
  <si>
    <t>0% av (BTA-BYA)</t>
  </si>
  <si>
    <t>Vanlig med 100 mm bunnplate når det ikke er behov for ekstra fundamentering.</t>
  </si>
  <si>
    <t>0% av BTA</t>
  </si>
  <si>
    <t>Endret til å ikke inkluderer avretting og påstøp på gulv på grunn.</t>
  </si>
  <si>
    <t>Trebjelkelag</t>
  </si>
  <si>
    <t>225 mm steinull
100% av BTA</t>
  </si>
  <si>
    <t>Benyttet 100 mm bunnplate og 200 mm EPS når det ikke er behov for fundamentering.</t>
  </si>
  <si>
    <t>Uendret</t>
  </si>
  <si>
    <t>0 % av BRA</t>
  </si>
  <si>
    <t>80 % av BRA</t>
  </si>
  <si>
    <t>30 % av BRA</t>
  </si>
  <si>
    <t>10 % av BRA</t>
  </si>
  <si>
    <t>60 % av BRA</t>
  </si>
  <si>
    <t>15% av BRA</t>
  </si>
  <si>
    <t>Vinyl på toaletter istedenfor keramisk flis, da det ikke er hensiktsmessig eller kostnadseffektivt med flis på skoler pga. vedlikehold, slitasje, osv.</t>
  </si>
  <si>
    <t>Keramisk fli, flislim og membran</t>
  </si>
  <si>
    <t>20% av BRA</t>
  </si>
  <si>
    <t>Keramisk flis</t>
  </si>
  <si>
    <t>95 % av BRA</t>
  </si>
  <si>
    <t>20 % av BRA</t>
  </si>
  <si>
    <t>20 mm mineralullplater
5% av BRA</t>
  </si>
  <si>
    <t>Kermamisk fli, flislim og membran</t>
  </si>
  <si>
    <t>100 % av BRA</t>
  </si>
  <si>
    <t>40 mm mineralullplater
70% av BRA</t>
  </si>
  <si>
    <t>20 mm byttet ut med 40 mm pga akustiske krav i skoler</t>
  </si>
  <si>
    <t>20 mm mineralullplater
0% av BRA</t>
  </si>
  <si>
    <t>Yttertak</t>
  </si>
  <si>
    <t>Primær-konstruksjon</t>
  </si>
  <si>
    <t>265 mm betong hulldekke, dampsperre</t>
  </si>
  <si>
    <t>250 mm EPS, 50 mm trykkfast steinull
100% av BYA</t>
  </si>
  <si>
    <t>Endret til 250 mm EPS, 50 mm trykkfast steinull</t>
  </si>
  <si>
    <t>Taktekking</t>
  </si>
  <si>
    <t xml:space="preserve">Asfalttekking, to lag </t>
  </si>
  <si>
    <t>100% av BYA</t>
  </si>
  <si>
    <t>Trapper og balkonger</t>
  </si>
  <si>
    <t>Trapper</t>
  </si>
  <si>
    <t>Betongtrapp</t>
  </si>
  <si>
    <t>Uendret mengde</t>
  </si>
  <si>
    <t>Heissjakt</t>
  </si>
  <si>
    <t>Betongsjakt</t>
  </si>
  <si>
    <t>Heissjakt er inkludert i innervegger.</t>
  </si>
  <si>
    <t>Trebjelkelag, sponplate, OSB plate, PVC undertak</t>
  </si>
  <si>
    <t>Isolasjon er i dekket</t>
  </si>
  <si>
    <t>0% limtre</t>
  </si>
  <si>
    <t>Trapp, limtre</t>
  </si>
  <si>
    <t>100% betong</t>
  </si>
  <si>
    <t>Endret til trapp av limtre</t>
  </si>
  <si>
    <t>Definisjon av BTA, BRA og BYA</t>
  </si>
  <si>
    <t xml:space="preserve">Denne fanen beskriver definisjoner av arealbegrepene BTA, BRA og BYA som brukes i verktøyet. Definisjonene er hentet fra NS 3940:2012 "Areal- og volumberegninger av bygninger". For illustrasjoner av hvordan arealbegrepene brukes i bygg henvises det til NS 3940:2012. </t>
  </si>
  <si>
    <t>Bruttoareal, BTA</t>
  </si>
  <si>
    <r>
      <t xml:space="preserve">Bruttoareal beregnes fra utside omsluttende vegger og inkluderer utvendig avsluttende overflate. 
Innhuk og framspring av konstruksjonsmessig eller estetisk art medregnes ikke. Bruttoarealet for en bygning er summen av bruttoarealene for alle plan eller etasjer. Planen kan være helt eller delvis under terreng. 
</t>
    </r>
    <r>
      <rPr>
        <b/>
        <sz val="11"/>
        <color theme="1"/>
        <rFont val="Calibri"/>
        <family val="2"/>
        <scheme val="minor"/>
      </rPr>
      <t xml:space="preserve">Hvordan brukes bruttoareal i verktøyet?
</t>
    </r>
    <r>
      <rPr>
        <sz val="11"/>
        <color theme="1"/>
        <rFont val="Calibri"/>
        <family val="2"/>
        <scheme val="minor"/>
      </rPr>
      <t xml:space="preserve">Referansenivåene for ulike bygningskategorier er beregnet per BTA. Dette er derfor den viktigste arealenheten som skalerer opp utslippsrammen til byggets størrelse. BTA er delt opp i BTA over bakken, og BTA for oppvarmet og uoppvarmet kjeller. Dette er fordi det er forskjellige referansenivåer over og under bakken. BTA brukes også til å beregne behov for pelefundamenter sammen med dybde til fjell. 
</t>
    </r>
  </si>
  <si>
    <t>Bruksareal, BRA</t>
  </si>
  <si>
    <r>
      <t xml:space="preserve">Bruksareal (BRA) er arealet innenfor omsluttende vegger.
Bruksareal omfatter nettoareal og areal av innvendige vegger og sjakter. 
Det skal måles langs gulvplanet uten hensyn til gulvlister, innredningsenheter, installasjoner og liknende.
Hvis ikke annet er bestemt, skal måleverdig areal helt eller delvis under terreng regnes med i bruksarealet.
</t>
    </r>
    <r>
      <rPr>
        <b/>
        <sz val="11"/>
        <color theme="1"/>
        <rFont val="Calibri"/>
        <family val="2"/>
        <scheme val="minor"/>
      </rPr>
      <t>Hvordan brukes bruksareal i verktøyet?</t>
    </r>
    <r>
      <rPr>
        <sz val="11"/>
        <color theme="1"/>
        <rFont val="Calibri"/>
        <family val="2"/>
        <scheme val="minor"/>
      </rPr>
      <t xml:space="preserve">
BTA brukes til å beregne indikator for klimagassutslipp per BRA. Bruksarealet må derfor kun fylles hvis man ønsker å vise denne indikatoren for sammenligning med andre bygg. </t>
    </r>
  </si>
  <si>
    <t>Bebygd areal, BYA</t>
  </si>
  <si>
    <r>
      <t xml:space="preserve">Bebygd areal er horisontalprojeksjonen av enten bygning(er), bygningsdeler og tilhørende konstruksjoner over bakken. 
I bebygd areal skal følgende medregnes: 
- det arealet som bygningen eller bygningene opptar av terrenget;
- åpent overbygd areal;
- utkragede bygningdeler med fri høyde over terreng mindre enn 5,00 m;
- konstruksjoner og bygningdeler med fri høyde over terreng mindre enn 0,5 m over gjennomsnittsnivået for planert terreng rundt konstruksjonen eller bygningsdelen.
</t>
    </r>
    <r>
      <rPr>
        <b/>
        <sz val="11"/>
        <color theme="1"/>
        <rFont val="Calibri"/>
        <family val="2"/>
        <scheme val="minor"/>
      </rPr>
      <t>Hvordan brukes bebygd areal i verktøyet?</t>
    </r>
    <r>
      <rPr>
        <sz val="11"/>
        <color theme="1"/>
        <rFont val="Calibri"/>
        <family val="2"/>
        <scheme val="minor"/>
      </rPr>
      <t xml:space="preserve"> 
BYA brukes kun til å estimere klimagassutslipp fra fundamentering. Ved bruk av pelefundamentering er det behov for ekstra bunnplate i fundamentering, og mengdene for denne beregnes per BYA. 
</t>
    </r>
  </si>
  <si>
    <t>Bæresystemer og dekker av tre</t>
  </si>
  <si>
    <t xml:space="preserve">Verktøy for beregning av utslippsramme for klimagassutslipp fra bygg </t>
  </si>
  <si>
    <r>
      <t>Tonn CO</t>
    </r>
    <r>
      <rPr>
        <b/>
        <vertAlign val="subscript"/>
        <sz val="11"/>
        <color theme="1"/>
        <rFont val="Calibri"/>
        <family val="2"/>
        <scheme val="minor"/>
      </rPr>
      <t>2</t>
    </r>
    <r>
      <rPr>
        <b/>
        <sz val="11"/>
        <color theme="1"/>
        <rFont val="Calibri"/>
        <family val="2"/>
        <scheme val="minor"/>
      </rPr>
      <t xml:space="preserve"> ekv over 50 år</t>
    </r>
  </si>
  <si>
    <t>Resultater oppdelt</t>
  </si>
  <si>
    <r>
      <t>tonn CO</t>
    </r>
    <r>
      <rPr>
        <b/>
        <vertAlign val="subscript"/>
        <sz val="11"/>
        <color theme="1"/>
        <rFont val="Calibri"/>
        <family val="2"/>
        <scheme val="minor"/>
      </rPr>
      <t xml:space="preserve">2 </t>
    </r>
    <r>
      <rPr>
        <b/>
        <sz val="11"/>
        <color theme="1"/>
        <rFont val="Calibri"/>
        <family val="2"/>
        <scheme val="minor"/>
      </rPr>
      <t>ekv. over 50 år</t>
    </r>
  </si>
  <si>
    <t>INPUT</t>
  </si>
  <si>
    <t>B2, B4</t>
  </si>
  <si>
    <t>OPPGI ØNSKET REDUKSJON</t>
  </si>
  <si>
    <t>Høyde</t>
  </si>
  <si>
    <t>Levetid</t>
  </si>
  <si>
    <t xml:space="preserve">A4 </t>
  </si>
  <si>
    <t>Grunn og fundamentering</t>
  </si>
  <si>
    <t>Bebygd areal</t>
  </si>
  <si>
    <t>Tilleggsindikatorer</t>
  </si>
  <si>
    <t>ANBEFALT UTSLIPPSRAMME EKSKL. GRUNN OG FUNDAMENTER</t>
  </si>
  <si>
    <t>x</t>
  </si>
  <si>
    <t>B.del</t>
  </si>
  <si>
    <t>Bygningselement</t>
  </si>
  <si>
    <t>Breeam</t>
  </si>
  <si>
    <t>DFØ</t>
  </si>
  <si>
    <t>(X)</t>
  </si>
  <si>
    <t>Bæresystemer</t>
  </si>
  <si>
    <t>X</t>
  </si>
  <si>
    <t>Yttervegger</t>
  </si>
  <si>
    <t>-</t>
  </si>
  <si>
    <t>Sanitær</t>
  </si>
  <si>
    <t>Varme</t>
  </si>
  <si>
    <t>Komfortkjøling</t>
  </si>
  <si>
    <t>Utendørs</t>
  </si>
  <si>
    <t>Fast inventar</t>
  </si>
  <si>
    <t>Trapper, balkonger</t>
  </si>
  <si>
    <t>Andre bygningsmessige tettinger</t>
  </si>
  <si>
    <t>Varme og kulde installasjoner</t>
  </si>
  <si>
    <t>47 (49*)</t>
  </si>
  <si>
    <t>Lokal elkraft produksjon</t>
  </si>
  <si>
    <t>Prefabrikkerte rom</t>
  </si>
  <si>
    <t>Lokal varmeproduksjon</t>
  </si>
  <si>
    <t>Figur 5.1 Systemgrense bygningsdeler i ulike krav/sertifiseringer</t>
  </si>
  <si>
    <r>
      <rPr>
        <b/>
        <sz val="8"/>
        <color rgb="FF000000"/>
        <rFont val="Calibri"/>
        <family val="2"/>
      </rPr>
      <t>IN</t>
    </r>
    <r>
      <rPr>
        <b/>
        <sz val="8"/>
        <color rgb="FF000000"/>
        <rFont val="Calibri"/>
        <family val="2"/>
      </rPr>
      <t>F</t>
    </r>
    <r>
      <rPr>
        <b/>
        <sz val="8"/>
        <color rgb="FF000000"/>
        <rFont val="Calibri"/>
        <family val="2"/>
      </rPr>
      <t>O</t>
    </r>
    <r>
      <rPr>
        <b/>
        <sz val="8"/>
        <color rgb="FF000000"/>
        <rFont val="Calibri"/>
        <family val="2"/>
      </rPr>
      <t>R</t>
    </r>
    <r>
      <rPr>
        <b/>
        <sz val="8"/>
        <color rgb="FF000000"/>
        <rFont val="Calibri"/>
        <family val="2"/>
      </rPr>
      <t>M</t>
    </r>
    <r>
      <rPr>
        <b/>
        <sz val="8"/>
        <color rgb="FF000000"/>
        <rFont val="Calibri"/>
        <family val="2"/>
      </rPr>
      <t>A</t>
    </r>
    <r>
      <rPr>
        <b/>
        <sz val="8"/>
        <color rgb="FF000000"/>
        <rFont val="Calibri"/>
        <family val="2"/>
      </rPr>
      <t>S</t>
    </r>
    <r>
      <rPr>
        <b/>
        <sz val="8"/>
        <color rgb="FF000000"/>
        <rFont val="Calibri"/>
        <family val="2"/>
      </rPr>
      <t>J</t>
    </r>
    <r>
      <rPr>
        <b/>
        <sz val="8"/>
        <color rgb="FF000000"/>
        <rFont val="Calibri"/>
        <family val="2"/>
      </rPr>
      <t>O</t>
    </r>
    <r>
      <rPr>
        <b/>
        <sz val="8"/>
        <color rgb="FF000000"/>
        <rFont val="Calibri"/>
        <family val="2"/>
      </rPr>
      <t>N</t>
    </r>
    <r>
      <rPr>
        <b/>
        <sz val="8"/>
        <color rgb="FF000000"/>
        <rFont val="Times New Roman"/>
        <family val="1"/>
      </rPr>
      <t xml:space="preserve"> </t>
    </r>
    <r>
      <rPr>
        <b/>
        <sz val="8"/>
        <color rgb="FF000000"/>
        <rFont val="Calibri"/>
        <family val="2"/>
      </rPr>
      <t>O</t>
    </r>
    <r>
      <rPr>
        <b/>
        <sz val="8"/>
        <color rgb="FF000000"/>
        <rFont val="Calibri"/>
        <family val="2"/>
      </rPr>
      <t>M</t>
    </r>
    <r>
      <rPr>
        <b/>
        <sz val="8"/>
        <color rgb="FF000000"/>
        <rFont val="Times New Roman"/>
        <family val="1"/>
      </rPr>
      <t xml:space="preserve"> </t>
    </r>
    <r>
      <rPr>
        <b/>
        <sz val="8"/>
        <color rgb="FF000000"/>
        <rFont val="Calibri"/>
        <family val="2"/>
      </rPr>
      <t>B</t>
    </r>
    <r>
      <rPr>
        <b/>
        <sz val="8"/>
        <color rgb="FF000000"/>
        <rFont val="Calibri"/>
        <family val="2"/>
      </rPr>
      <t>Y</t>
    </r>
    <r>
      <rPr>
        <b/>
        <sz val="8"/>
        <color rgb="FF000000"/>
        <rFont val="Calibri"/>
        <family val="2"/>
      </rPr>
      <t>G</t>
    </r>
    <r>
      <rPr>
        <b/>
        <sz val="8"/>
        <color rgb="FF000000"/>
        <rFont val="Calibri"/>
        <family val="2"/>
      </rPr>
      <t>NI</t>
    </r>
    <r>
      <rPr>
        <b/>
        <sz val="8"/>
        <color rgb="FF000000"/>
        <rFont val="Calibri"/>
        <family val="2"/>
      </rPr>
      <t>N</t>
    </r>
    <r>
      <rPr>
        <b/>
        <sz val="8"/>
        <color rgb="FF000000"/>
        <rFont val="Calibri"/>
        <family val="2"/>
      </rPr>
      <t>G</t>
    </r>
    <r>
      <rPr>
        <b/>
        <sz val="8"/>
        <color rgb="FF000000"/>
        <rFont val="Calibri"/>
        <family val="2"/>
      </rPr>
      <t>E</t>
    </r>
    <r>
      <rPr>
        <b/>
        <sz val="8"/>
        <color rgb="FF000000"/>
        <rFont val="Calibri"/>
        <family val="2"/>
      </rPr>
      <t>N</t>
    </r>
    <r>
      <rPr>
        <b/>
        <sz val="8"/>
        <color rgb="FF000000"/>
        <rFont val="Calibri"/>
        <family val="2"/>
      </rPr>
      <t>S</t>
    </r>
    <r>
      <rPr>
        <b/>
        <sz val="8"/>
        <color rgb="FF000000"/>
        <rFont val="Times New Roman"/>
        <family val="1"/>
      </rPr>
      <t xml:space="preserve"> </t>
    </r>
    <r>
      <rPr>
        <b/>
        <sz val="8"/>
        <color rgb="FF000000"/>
        <rFont val="Calibri"/>
        <family val="2"/>
      </rPr>
      <t>L</t>
    </r>
    <r>
      <rPr>
        <b/>
        <sz val="8"/>
        <color rgb="FF000000"/>
        <rFont val="Calibri"/>
        <family val="2"/>
      </rPr>
      <t>I</t>
    </r>
    <r>
      <rPr>
        <b/>
        <sz val="8"/>
        <color rgb="FF000000"/>
        <rFont val="Calibri"/>
        <family val="2"/>
      </rPr>
      <t>V</t>
    </r>
    <r>
      <rPr>
        <b/>
        <sz val="8"/>
        <color rgb="FF000000"/>
        <rFont val="Calibri"/>
        <family val="2"/>
      </rPr>
      <t>S</t>
    </r>
    <r>
      <rPr>
        <b/>
        <sz val="8"/>
        <color rgb="FF000000"/>
        <rFont val="Calibri"/>
        <family val="2"/>
      </rPr>
      <t>L</t>
    </r>
    <r>
      <rPr>
        <b/>
        <sz val="8"/>
        <color rgb="FF000000"/>
        <rFont val="Calibri"/>
        <family val="2"/>
      </rPr>
      <t>Ø</t>
    </r>
    <r>
      <rPr>
        <b/>
        <sz val="8"/>
        <color rgb="FF000000"/>
        <rFont val="Calibri"/>
        <family val="2"/>
      </rPr>
      <t>P</t>
    </r>
  </si>
  <si>
    <t>Produktstadiet</t>
  </si>
  <si>
    <t>Bruksstadiet</t>
  </si>
  <si>
    <r>
      <rPr>
        <b/>
        <sz val="8"/>
        <color rgb="FF000000"/>
        <rFont val="Calibri"/>
        <family val="2"/>
      </rPr>
      <t>L</t>
    </r>
    <r>
      <rPr>
        <b/>
        <sz val="8"/>
        <color rgb="FF000000"/>
        <rFont val="Calibri"/>
        <family val="2"/>
      </rPr>
      <t>i</t>
    </r>
    <r>
      <rPr>
        <b/>
        <sz val="8"/>
        <color rgb="FF000000"/>
        <rFont val="Calibri"/>
        <family val="2"/>
      </rPr>
      <t>v</t>
    </r>
    <r>
      <rPr>
        <b/>
        <sz val="8"/>
        <color rgb="FF000000"/>
        <rFont val="Calibri"/>
        <family val="2"/>
      </rPr>
      <t>s</t>
    </r>
    <r>
      <rPr>
        <b/>
        <sz val="8"/>
        <color rgb="FF000000"/>
        <rFont val="Calibri"/>
        <family val="2"/>
      </rPr>
      <t>l</t>
    </r>
    <r>
      <rPr>
        <b/>
        <sz val="8"/>
        <color rgb="FF000000"/>
        <rFont val="Calibri"/>
        <family val="2"/>
      </rPr>
      <t>ø</t>
    </r>
    <r>
      <rPr>
        <b/>
        <sz val="8"/>
        <color rgb="FF000000"/>
        <rFont val="Calibri"/>
        <family val="2"/>
      </rPr>
      <t>p</t>
    </r>
    <r>
      <rPr>
        <b/>
        <sz val="8"/>
        <color rgb="FF000000"/>
        <rFont val="Calibri"/>
        <family val="2"/>
      </rPr>
      <t>e</t>
    </r>
    <r>
      <rPr>
        <b/>
        <sz val="8"/>
        <color rgb="FF000000"/>
        <rFont val="Calibri"/>
        <family val="2"/>
      </rPr>
      <t>t</t>
    </r>
    <r>
      <rPr>
        <b/>
        <sz val="8"/>
        <color rgb="FF000000"/>
        <rFont val="Calibri"/>
        <family val="2"/>
      </rPr>
      <t>s</t>
    </r>
    <r>
      <rPr>
        <b/>
        <sz val="8"/>
        <color rgb="FF000000"/>
        <rFont val="Times New Roman"/>
        <family val="1"/>
      </rPr>
      <t xml:space="preserve"> </t>
    </r>
    <r>
      <rPr>
        <b/>
        <sz val="8"/>
        <color rgb="FF000000"/>
        <rFont val="Calibri"/>
        <family val="2"/>
      </rPr>
      <t>s</t>
    </r>
    <r>
      <rPr>
        <b/>
        <sz val="8"/>
        <color rgb="FF000000"/>
        <rFont val="Calibri"/>
        <family val="2"/>
      </rPr>
      <t>l</t>
    </r>
    <r>
      <rPr>
        <b/>
        <sz val="8"/>
        <color rgb="FF000000"/>
        <rFont val="Calibri"/>
        <family val="2"/>
      </rPr>
      <t>u</t>
    </r>
    <r>
      <rPr>
        <b/>
        <sz val="8"/>
        <color rgb="FF000000"/>
        <rFont val="Calibri"/>
        <family val="2"/>
      </rPr>
      <t>t</t>
    </r>
    <r>
      <rPr>
        <b/>
        <sz val="8"/>
        <color rgb="FF000000"/>
        <rFont val="Calibri"/>
        <family val="2"/>
      </rPr>
      <t>t</t>
    </r>
    <r>
      <rPr>
        <b/>
        <sz val="8"/>
        <color rgb="FF000000"/>
        <rFont val="Calibri"/>
        <family val="2"/>
      </rPr>
      <t>s</t>
    </r>
    <r>
      <rPr>
        <b/>
        <sz val="8"/>
        <color rgb="FF000000"/>
        <rFont val="Calibri"/>
        <family val="2"/>
      </rPr>
      <t>t</t>
    </r>
    <r>
      <rPr>
        <b/>
        <sz val="8"/>
        <color rgb="FF000000"/>
        <rFont val="Calibri"/>
        <family val="2"/>
      </rPr>
      <t>ad</t>
    </r>
    <r>
      <rPr>
        <b/>
        <sz val="8"/>
        <color rgb="FF000000"/>
        <rFont val="Calibri"/>
        <family val="2"/>
      </rPr>
      <t>i</t>
    </r>
    <r>
      <rPr>
        <b/>
        <sz val="8"/>
        <color rgb="FF000000"/>
        <rFont val="Calibri"/>
        <family val="2"/>
      </rPr>
      <t>e</t>
    </r>
  </si>
  <si>
    <r>
      <rPr>
        <b/>
        <sz val="8"/>
        <color rgb="FF000000"/>
        <rFont val="Calibri"/>
        <family val="2"/>
      </rPr>
      <t>A</t>
    </r>
    <r>
      <rPr>
        <b/>
        <sz val="8"/>
        <color rgb="FF000000"/>
        <rFont val="Calibri"/>
        <family val="2"/>
      </rPr>
      <t>1</t>
    </r>
    <r>
      <rPr>
        <b/>
        <sz val="8"/>
        <color rgb="FF000000"/>
        <rFont val="Times New Roman"/>
        <family val="1"/>
      </rPr>
      <t xml:space="preserve"> </t>
    </r>
    <r>
      <rPr>
        <b/>
        <sz val="8"/>
        <color rgb="FF000000"/>
        <rFont val="Calibri"/>
        <family val="2"/>
      </rPr>
      <t>–</t>
    </r>
    <r>
      <rPr>
        <b/>
        <sz val="8"/>
        <color rgb="FF000000"/>
        <rFont val="Times New Roman"/>
        <family val="1"/>
      </rPr>
      <t xml:space="preserve"> </t>
    </r>
    <r>
      <rPr>
        <b/>
        <sz val="8"/>
        <color rgb="FF000000"/>
        <rFont val="Calibri"/>
        <family val="2"/>
      </rPr>
      <t>A</t>
    </r>
    <r>
      <rPr>
        <b/>
        <sz val="8"/>
        <color rgb="FF000000"/>
        <rFont val="Calibri"/>
        <family val="2"/>
      </rPr>
      <t>3</t>
    </r>
  </si>
  <si>
    <r>
      <rPr>
        <b/>
        <sz val="8"/>
        <color rgb="FF000000"/>
        <rFont val="Calibri"/>
        <family val="2"/>
      </rPr>
      <t>B</t>
    </r>
    <r>
      <rPr>
        <b/>
        <sz val="8"/>
        <color rgb="FF000000"/>
        <rFont val="Calibri"/>
        <family val="2"/>
      </rPr>
      <t>1</t>
    </r>
    <r>
      <rPr>
        <b/>
        <sz val="8"/>
        <color rgb="FF000000"/>
        <rFont val="Times New Roman"/>
        <family val="1"/>
      </rPr>
      <t xml:space="preserve"> </t>
    </r>
    <r>
      <rPr>
        <b/>
        <sz val="8"/>
        <color rgb="FF000000"/>
        <rFont val="Calibri"/>
        <family val="2"/>
      </rPr>
      <t>–</t>
    </r>
    <r>
      <rPr>
        <b/>
        <sz val="8"/>
        <color rgb="FF000000"/>
        <rFont val="Times New Roman"/>
        <family val="1"/>
      </rPr>
      <t xml:space="preserve"> </t>
    </r>
    <r>
      <rPr>
        <b/>
        <sz val="8"/>
        <color rgb="FF000000"/>
        <rFont val="Calibri"/>
        <family val="2"/>
      </rPr>
      <t>B</t>
    </r>
    <r>
      <rPr>
        <b/>
        <sz val="8"/>
        <color rgb="FF000000"/>
        <rFont val="Calibri"/>
        <family val="2"/>
      </rPr>
      <t>8</t>
    </r>
  </si>
  <si>
    <r>
      <rPr>
        <b/>
        <sz val="8"/>
        <color rgb="FF000000"/>
        <rFont val="Calibri"/>
        <family val="2"/>
      </rPr>
      <t>C</t>
    </r>
    <r>
      <rPr>
        <b/>
        <sz val="8"/>
        <color rgb="FF000000"/>
        <rFont val="Calibri"/>
        <family val="2"/>
      </rPr>
      <t>1</t>
    </r>
    <r>
      <rPr>
        <b/>
        <sz val="8"/>
        <color rgb="FF000000"/>
        <rFont val="Times New Roman"/>
        <family val="1"/>
      </rPr>
      <t xml:space="preserve"> </t>
    </r>
    <r>
      <rPr>
        <b/>
        <sz val="8"/>
        <color rgb="FF000000"/>
        <rFont val="Calibri"/>
        <family val="2"/>
      </rPr>
      <t>–</t>
    </r>
    <r>
      <rPr>
        <b/>
        <sz val="8"/>
        <color rgb="FF000000"/>
        <rFont val="Times New Roman"/>
        <family val="1"/>
      </rPr>
      <t xml:space="preserve"> </t>
    </r>
    <r>
      <rPr>
        <b/>
        <sz val="8"/>
        <color rgb="FF000000"/>
        <rFont val="Calibri"/>
        <family val="2"/>
      </rPr>
      <t>C</t>
    </r>
    <r>
      <rPr>
        <b/>
        <sz val="8"/>
        <color rgb="FF000000"/>
        <rFont val="Calibri"/>
        <family val="2"/>
      </rPr>
      <t>4</t>
    </r>
  </si>
  <si>
    <t>A1</t>
  </si>
  <si>
    <t>A2</t>
  </si>
  <si>
    <t>A3</t>
  </si>
  <si>
    <t>B1</t>
  </si>
  <si>
    <t>B3</t>
  </si>
  <si>
    <t>B5</t>
  </si>
  <si>
    <t>B6</t>
  </si>
  <si>
    <t>B8</t>
  </si>
  <si>
    <t>C1</t>
  </si>
  <si>
    <t>C2</t>
  </si>
  <si>
    <t>C3</t>
  </si>
  <si>
    <t>C4</t>
  </si>
  <si>
    <t>D</t>
  </si>
  <si>
    <r>
      <rPr>
        <sz val="8"/>
        <color rgb="FF000000"/>
        <rFont val="Calibri"/>
        <family val="2"/>
      </rPr>
      <t>R</t>
    </r>
    <r>
      <rPr>
        <sz val="8"/>
        <color rgb="FF000000"/>
        <rFont val="Calibri"/>
        <family val="2"/>
      </rPr>
      <t>å</t>
    </r>
    <r>
      <rPr>
        <sz val="8"/>
        <color rgb="FF000000"/>
        <rFont val="Calibri"/>
        <family val="2"/>
      </rPr>
      <t>v</t>
    </r>
    <r>
      <rPr>
        <sz val="8"/>
        <color rgb="FF000000"/>
        <rFont val="Calibri"/>
        <family val="2"/>
      </rPr>
      <t>a</t>
    </r>
    <r>
      <rPr>
        <sz val="8"/>
        <color rgb="FF000000"/>
        <rFont val="Calibri"/>
        <family val="2"/>
      </rPr>
      <t>r</t>
    </r>
    <r>
      <rPr>
        <sz val="8"/>
        <color rgb="FF000000"/>
        <rFont val="Calibri"/>
        <family val="2"/>
      </rPr>
      <t>e</t>
    </r>
    <r>
      <rPr>
        <sz val="8"/>
        <color rgb="FF000000"/>
        <rFont val="Calibri"/>
        <family val="2"/>
      </rPr>
      <t>r</t>
    </r>
  </si>
  <si>
    <r>
      <rPr>
        <sz val="8"/>
        <color rgb="FF000000"/>
        <rFont val="Calibri"/>
        <family val="2"/>
      </rPr>
      <t>T</t>
    </r>
    <r>
      <rPr>
        <sz val="8"/>
        <color rgb="FF000000"/>
        <rFont val="Calibri"/>
        <family val="2"/>
      </rPr>
      <t>r</t>
    </r>
    <r>
      <rPr>
        <sz val="8"/>
        <color rgb="FF000000"/>
        <rFont val="Calibri"/>
        <family val="2"/>
      </rPr>
      <t>ansp</t>
    </r>
    <r>
      <rPr>
        <sz val="8"/>
        <color rgb="FF000000"/>
        <rFont val="Calibri"/>
        <family val="2"/>
      </rPr>
      <t>o</t>
    </r>
    <r>
      <rPr>
        <sz val="8"/>
        <color rgb="FF000000"/>
        <rFont val="Calibri"/>
        <family val="2"/>
      </rPr>
      <t>r</t>
    </r>
    <r>
      <rPr>
        <sz val="8"/>
        <color rgb="FF000000"/>
        <rFont val="Calibri"/>
        <family val="2"/>
      </rPr>
      <t>t</t>
    </r>
  </si>
  <si>
    <r>
      <rPr>
        <sz val="8"/>
        <color rgb="FF000000"/>
        <rFont val="Calibri"/>
        <family val="2"/>
      </rPr>
      <t>P</t>
    </r>
    <r>
      <rPr>
        <sz val="8"/>
        <color rgb="FF000000"/>
        <rFont val="Calibri"/>
        <family val="2"/>
      </rPr>
      <t>r</t>
    </r>
    <r>
      <rPr>
        <sz val="8"/>
        <color rgb="FF000000"/>
        <rFont val="Calibri"/>
        <family val="2"/>
      </rPr>
      <t>o</t>
    </r>
    <r>
      <rPr>
        <sz val="8"/>
        <color rgb="FF000000"/>
        <rFont val="Calibri"/>
        <family val="2"/>
      </rPr>
      <t>du</t>
    </r>
    <r>
      <rPr>
        <sz val="8"/>
        <color rgb="FF000000"/>
        <rFont val="Calibri"/>
        <family val="2"/>
      </rPr>
      <t>k</t>
    </r>
    <r>
      <rPr>
        <sz val="8"/>
        <color rgb="FF000000"/>
        <rFont val="Calibri"/>
        <family val="2"/>
      </rPr>
      <t>s</t>
    </r>
    <r>
      <rPr>
        <sz val="8"/>
        <color rgb="FF000000"/>
        <rFont val="Calibri"/>
        <family val="2"/>
      </rPr>
      <t>j</t>
    </r>
    <r>
      <rPr>
        <sz val="8"/>
        <color rgb="FF000000"/>
        <rFont val="Calibri"/>
        <family val="2"/>
      </rPr>
      <t>o</t>
    </r>
    <r>
      <rPr>
        <sz val="8"/>
        <color rgb="FF000000"/>
        <rFont val="Calibri"/>
        <family val="2"/>
      </rPr>
      <t>n</t>
    </r>
  </si>
  <si>
    <r>
      <rPr>
        <sz val="8"/>
        <color rgb="FF000000"/>
        <rFont val="Calibri"/>
        <family val="2"/>
      </rPr>
      <t>A</t>
    </r>
    <r>
      <rPr>
        <sz val="8"/>
        <color rgb="FF000000"/>
        <rFont val="Calibri"/>
        <family val="2"/>
      </rPr>
      <t>n</t>
    </r>
    <r>
      <rPr>
        <sz val="8"/>
        <color rgb="FF000000"/>
        <rFont val="Calibri"/>
        <family val="2"/>
      </rPr>
      <t>l</t>
    </r>
    <r>
      <rPr>
        <sz val="8"/>
        <color rgb="FF000000"/>
        <rFont val="Calibri"/>
        <family val="2"/>
      </rPr>
      <t>e</t>
    </r>
    <r>
      <rPr>
        <sz val="8"/>
        <color rgb="FF000000"/>
        <rFont val="Calibri"/>
        <family val="2"/>
      </rPr>
      <t>g</t>
    </r>
    <r>
      <rPr>
        <sz val="8"/>
        <color rgb="FF000000"/>
        <rFont val="Calibri"/>
        <family val="2"/>
      </rPr>
      <t>g</t>
    </r>
    <r>
      <rPr>
        <sz val="8"/>
        <color rgb="FF000000"/>
        <rFont val="Calibri"/>
        <family val="2"/>
      </rPr>
      <t>-</t>
    </r>
    <r>
      <rPr>
        <sz val="8"/>
        <color rgb="FF000000"/>
        <rFont val="Calibri"/>
        <family val="2"/>
      </rPr>
      <t>,</t>
    </r>
    <r>
      <rPr>
        <sz val="8"/>
        <color rgb="FF000000"/>
        <rFont val="Times New Roman"/>
        <family val="1"/>
      </rPr>
      <t xml:space="preserve"> </t>
    </r>
    <r>
      <rPr>
        <sz val="8"/>
        <color rgb="FF000000"/>
        <rFont val="Calibri"/>
        <family val="2"/>
      </rPr>
      <t>b</t>
    </r>
    <r>
      <rPr>
        <sz val="8"/>
        <color rgb="FF000000"/>
        <rFont val="Calibri"/>
        <family val="2"/>
      </rPr>
      <t>y</t>
    </r>
    <r>
      <rPr>
        <sz val="8"/>
        <color rgb="FF000000"/>
        <rFont val="Calibri"/>
        <family val="2"/>
      </rPr>
      <t>g</t>
    </r>
    <r>
      <rPr>
        <sz val="8"/>
        <color rgb="FF000000"/>
        <rFont val="Calibri"/>
        <family val="2"/>
      </rPr>
      <t>g</t>
    </r>
    <r>
      <rPr>
        <sz val="8"/>
        <color rgb="FF000000"/>
        <rFont val="Calibri"/>
        <family val="2"/>
      </rPr>
      <t>e</t>
    </r>
    <r>
      <rPr>
        <sz val="8"/>
        <color rgb="FF000000"/>
        <rFont val="Calibri"/>
        <family val="2"/>
      </rPr>
      <t>-</t>
    </r>
    <r>
      <rPr>
        <sz val="8"/>
        <color rgb="FF000000"/>
        <rFont val="Times New Roman"/>
        <family val="1"/>
      </rPr>
      <t xml:space="preserve"> </t>
    </r>
    <r>
      <rPr>
        <sz val="8"/>
        <color rgb="FF000000"/>
        <rFont val="Calibri"/>
        <family val="2"/>
      </rPr>
      <t>o</t>
    </r>
    <r>
      <rPr>
        <sz val="8"/>
        <color rgb="FF000000"/>
        <rFont val="Calibri"/>
        <family val="2"/>
      </rPr>
      <t>g</t>
    </r>
    <r>
      <rPr>
        <sz val="8"/>
        <color rgb="FF000000"/>
        <rFont val="Times New Roman"/>
        <family val="1"/>
      </rPr>
      <t xml:space="preserve"> </t>
    </r>
    <r>
      <rPr>
        <sz val="8"/>
        <color rgb="FF000000"/>
        <rFont val="Calibri"/>
        <family val="2"/>
      </rPr>
      <t>m</t>
    </r>
    <r>
      <rPr>
        <sz val="8"/>
        <color rgb="FF000000"/>
        <rFont val="Calibri"/>
        <family val="2"/>
      </rPr>
      <t>o</t>
    </r>
    <r>
      <rPr>
        <sz val="8"/>
        <color rgb="FF000000"/>
        <rFont val="Calibri"/>
        <family val="2"/>
      </rPr>
      <t>n</t>
    </r>
    <r>
      <rPr>
        <sz val="8"/>
        <color rgb="FF000000"/>
        <rFont val="Calibri"/>
        <family val="2"/>
      </rPr>
      <t>t</t>
    </r>
    <r>
      <rPr>
        <sz val="8"/>
        <color rgb="FF000000"/>
        <rFont val="Calibri"/>
        <family val="2"/>
      </rPr>
      <t>e</t>
    </r>
    <r>
      <rPr>
        <sz val="8"/>
        <color rgb="FF000000"/>
        <rFont val="Calibri"/>
        <family val="2"/>
      </rPr>
      <t>r</t>
    </r>
    <r>
      <rPr>
        <sz val="8"/>
        <color rgb="FF000000"/>
        <rFont val="Calibri"/>
        <family val="2"/>
      </rPr>
      <t>i</t>
    </r>
    <r>
      <rPr>
        <sz val="8"/>
        <color rgb="FF000000"/>
        <rFont val="Calibri"/>
        <family val="2"/>
      </rPr>
      <t>n</t>
    </r>
    <r>
      <rPr>
        <sz val="8"/>
        <color rgb="FF000000"/>
        <rFont val="Calibri"/>
        <family val="2"/>
      </rPr>
      <t>g</t>
    </r>
    <r>
      <rPr>
        <sz val="8"/>
        <color rgb="FF000000"/>
        <rFont val="Calibri"/>
        <family val="2"/>
      </rPr>
      <t>sa</t>
    </r>
    <r>
      <rPr>
        <sz val="8"/>
        <color rgb="FF000000"/>
        <rFont val="Calibri"/>
        <family val="2"/>
      </rPr>
      <t>r</t>
    </r>
    <r>
      <rPr>
        <sz val="8"/>
        <color rgb="FF000000"/>
        <rFont val="Calibri"/>
        <family val="2"/>
      </rPr>
      <t>b</t>
    </r>
    <r>
      <rPr>
        <sz val="8"/>
        <color rgb="FF000000"/>
        <rFont val="Calibri"/>
        <family val="2"/>
      </rPr>
      <t>e</t>
    </r>
    <r>
      <rPr>
        <sz val="8"/>
        <color rgb="FF000000"/>
        <rFont val="Calibri"/>
        <family val="2"/>
      </rPr>
      <t>i</t>
    </r>
    <r>
      <rPr>
        <sz val="8"/>
        <color rgb="FF000000"/>
        <rFont val="Calibri"/>
        <family val="2"/>
      </rPr>
      <t>d</t>
    </r>
  </si>
  <si>
    <r>
      <rPr>
        <sz val="8"/>
        <color rgb="FF000000"/>
        <rFont val="Calibri"/>
        <family val="2"/>
      </rPr>
      <t>B</t>
    </r>
    <r>
      <rPr>
        <sz val="8"/>
        <color rgb="FF000000"/>
        <rFont val="Calibri"/>
        <family val="2"/>
      </rPr>
      <t>r</t>
    </r>
    <r>
      <rPr>
        <sz val="8"/>
        <color rgb="FF000000"/>
        <rFont val="Calibri"/>
        <family val="2"/>
      </rPr>
      <t>uk</t>
    </r>
  </si>
  <si>
    <r>
      <rPr>
        <sz val="8"/>
        <color rgb="FF000000"/>
        <rFont val="Calibri"/>
        <family val="2"/>
      </rPr>
      <t>V</t>
    </r>
    <r>
      <rPr>
        <sz val="8"/>
        <color rgb="FF000000"/>
        <rFont val="Calibri"/>
        <family val="2"/>
      </rPr>
      <t>e</t>
    </r>
    <r>
      <rPr>
        <sz val="8"/>
        <color rgb="FF000000"/>
        <rFont val="Calibri"/>
        <family val="2"/>
      </rPr>
      <t>d</t>
    </r>
    <r>
      <rPr>
        <sz val="8"/>
        <color rgb="FF000000"/>
        <rFont val="Calibri"/>
        <family val="2"/>
      </rPr>
      <t>l</t>
    </r>
    <r>
      <rPr>
        <sz val="8"/>
        <color rgb="FF000000"/>
        <rFont val="Calibri"/>
        <family val="2"/>
      </rPr>
      <t>i</t>
    </r>
    <r>
      <rPr>
        <sz val="8"/>
        <color rgb="FF000000"/>
        <rFont val="Calibri"/>
        <family val="2"/>
      </rPr>
      <t>k</t>
    </r>
    <r>
      <rPr>
        <sz val="8"/>
        <color rgb="FF000000"/>
        <rFont val="Calibri"/>
        <family val="2"/>
      </rPr>
      <t>e</t>
    </r>
    <r>
      <rPr>
        <sz val="8"/>
        <color rgb="FF000000"/>
        <rFont val="Calibri"/>
        <family val="2"/>
      </rPr>
      <t>h</t>
    </r>
    <r>
      <rPr>
        <sz val="8"/>
        <color rgb="FF000000"/>
        <rFont val="Calibri"/>
        <family val="2"/>
      </rPr>
      <t>o</t>
    </r>
    <r>
      <rPr>
        <sz val="8"/>
        <color rgb="FF000000"/>
        <rFont val="Calibri"/>
        <family val="2"/>
      </rPr>
      <t>l</t>
    </r>
    <r>
      <rPr>
        <sz val="8"/>
        <color rgb="FF000000"/>
        <rFont val="Calibri"/>
        <family val="2"/>
      </rPr>
      <t>d</t>
    </r>
  </si>
  <si>
    <r>
      <rPr>
        <sz val="8"/>
        <color rgb="FF000000"/>
        <rFont val="Calibri"/>
        <family val="2"/>
      </rPr>
      <t>R</t>
    </r>
    <r>
      <rPr>
        <sz val="8"/>
        <color rgb="FF000000"/>
        <rFont val="Calibri"/>
        <family val="2"/>
      </rPr>
      <t>e</t>
    </r>
    <r>
      <rPr>
        <sz val="8"/>
        <color rgb="FF000000"/>
        <rFont val="Calibri"/>
        <family val="2"/>
      </rPr>
      <t>pa</t>
    </r>
    <r>
      <rPr>
        <sz val="8"/>
        <color rgb="FF000000"/>
        <rFont val="Calibri"/>
        <family val="2"/>
      </rPr>
      <t>r</t>
    </r>
    <r>
      <rPr>
        <sz val="8"/>
        <color rgb="FF000000"/>
        <rFont val="Calibri"/>
        <family val="2"/>
      </rPr>
      <t>a</t>
    </r>
    <r>
      <rPr>
        <sz val="8"/>
        <color rgb="FF000000"/>
        <rFont val="Calibri"/>
        <family val="2"/>
      </rPr>
      <t>s</t>
    </r>
    <r>
      <rPr>
        <sz val="8"/>
        <color rgb="FF000000"/>
        <rFont val="Calibri"/>
        <family val="2"/>
      </rPr>
      <t>j</t>
    </r>
    <r>
      <rPr>
        <sz val="8"/>
        <color rgb="FF000000"/>
        <rFont val="Calibri"/>
        <family val="2"/>
      </rPr>
      <t>o</t>
    </r>
    <r>
      <rPr>
        <sz val="8"/>
        <color rgb="FF000000"/>
        <rFont val="Calibri"/>
        <family val="2"/>
      </rPr>
      <t>n</t>
    </r>
  </si>
  <si>
    <r>
      <rPr>
        <sz val="8"/>
        <color rgb="FF000000"/>
        <rFont val="Calibri"/>
        <family val="2"/>
      </rPr>
      <t>U</t>
    </r>
    <r>
      <rPr>
        <sz val="8"/>
        <color rgb="FF000000"/>
        <rFont val="Calibri"/>
        <family val="2"/>
      </rPr>
      <t>t</t>
    </r>
    <r>
      <rPr>
        <sz val="8"/>
        <color rgb="FF000000"/>
        <rFont val="Calibri"/>
        <family val="2"/>
      </rPr>
      <t>s</t>
    </r>
    <r>
      <rPr>
        <sz val="8"/>
        <color rgb="FF000000"/>
        <rFont val="Calibri"/>
        <family val="2"/>
      </rPr>
      <t>k</t>
    </r>
    <r>
      <rPr>
        <sz val="8"/>
        <color rgb="FF000000"/>
        <rFont val="Calibri"/>
        <family val="2"/>
      </rPr>
      <t>i</t>
    </r>
    <r>
      <rPr>
        <sz val="8"/>
        <color rgb="FF000000"/>
        <rFont val="Calibri"/>
        <family val="2"/>
      </rPr>
      <t>f</t>
    </r>
    <r>
      <rPr>
        <sz val="8"/>
        <color rgb="FF000000"/>
        <rFont val="Calibri"/>
        <family val="2"/>
      </rPr>
      <t>t</t>
    </r>
    <r>
      <rPr>
        <sz val="8"/>
        <color rgb="FF000000"/>
        <rFont val="Calibri"/>
        <family val="2"/>
      </rPr>
      <t>n</t>
    </r>
    <r>
      <rPr>
        <sz val="8"/>
        <color rgb="FF000000"/>
        <rFont val="Calibri"/>
        <family val="2"/>
      </rPr>
      <t>i</t>
    </r>
    <r>
      <rPr>
        <sz val="8"/>
        <color rgb="FF000000"/>
        <rFont val="Calibri"/>
        <family val="2"/>
      </rPr>
      <t>ng</t>
    </r>
  </si>
  <si>
    <r>
      <rPr>
        <sz val="8"/>
        <color rgb="FF000000"/>
        <rFont val="Calibri"/>
        <family val="2"/>
      </rPr>
      <t>O</t>
    </r>
    <r>
      <rPr>
        <sz val="8"/>
        <color rgb="FF000000"/>
        <rFont val="Calibri"/>
        <family val="2"/>
      </rPr>
      <t>m</t>
    </r>
    <r>
      <rPr>
        <sz val="8"/>
        <color rgb="FF000000"/>
        <rFont val="Calibri"/>
        <family val="2"/>
      </rPr>
      <t>b</t>
    </r>
    <r>
      <rPr>
        <sz val="8"/>
        <color rgb="FF000000"/>
        <rFont val="Calibri"/>
        <family val="2"/>
      </rPr>
      <t>y</t>
    </r>
    <r>
      <rPr>
        <sz val="8"/>
        <color rgb="FF000000"/>
        <rFont val="Calibri"/>
        <family val="2"/>
      </rPr>
      <t>g</t>
    </r>
    <r>
      <rPr>
        <sz val="8"/>
        <color rgb="FF000000"/>
        <rFont val="Calibri"/>
        <family val="2"/>
      </rPr>
      <t>g</t>
    </r>
    <r>
      <rPr>
        <sz val="8"/>
        <color rgb="FF000000"/>
        <rFont val="Calibri"/>
        <family val="2"/>
      </rPr>
      <t>i</t>
    </r>
    <r>
      <rPr>
        <sz val="8"/>
        <color rgb="FF000000"/>
        <rFont val="Calibri"/>
        <family val="2"/>
      </rPr>
      <t>ng</t>
    </r>
  </si>
  <si>
    <r>
      <rPr>
        <sz val="8"/>
        <color rgb="FF000000"/>
        <rFont val="Calibri"/>
        <family val="2"/>
      </rPr>
      <t>E</t>
    </r>
    <r>
      <rPr>
        <sz val="8"/>
        <color rgb="FF000000"/>
        <rFont val="Calibri"/>
        <family val="2"/>
      </rPr>
      <t>n</t>
    </r>
    <r>
      <rPr>
        <sz val="8"/>
        <color rgb="FF000000"/>
        <rFont val="Calibri"/>
        <family val="2"/>
      </rPr>
      <t>e</t>
    </r>
    <r>
      <rPr>
        <sz val="8"/>
        <color rgb="FF000000"/>
        <rFont val="Calibri"/>
        <family val="2"/>
      </rPr>
      <t>r</t>
    </r>
    <r>
      <rPr>
        <sz val="8"/>
        <color rgb="FF000000"/>
        <rFont val="Calibri"/>
        <family val="2"/>
      </rPr>
      <t>g</t>
    </r>
    <r>
      <rPr>
        <sz val="8"/>
        <color rgb="FF000000"/>
        <rFont val="Calibri"/>
        <family val="2"/>
      </rPr>
      <t>i</t>
    </r>
    <r>
      <rPr>
        <sz val="8"/>
        <color rgb="FF000000"/>
        <rFont val="Calibri"/>
        <family val="2"/>
      </rPr>
      <t>b</t>
    </r>
    <r>
      <rPr>
        <sz val="8"/>
        <color rgb="FF000000"/>
        <rFont val="Calibri"/>
        <family val="2"/>
      </rPr>
      <t>r</t>
    </r>
    <r>
      <rPr>
        <sz val="8"/>
        <color rgb="FF000000"/>
        <rFont val="Calibri"/>
        <family val="2"/>
      </rPr>
      <t>uk</t>
    </r>
    <r>
      <rPr>
        <sz val="8"/>
        <color rgb="FF000000"/>
        <rFont val="Times New Roman"/>
        <family val="1"/>
      </rPr>
      <t xml:space="preserve"> </t>
    </r>
    <r>
      <rPr>
        <sz val="8"/>
        <color rgb="FF000000"/>
        <rFont val="Calibri"/>
        <family val="2"/>
      </rPr>
      <t>i</t>
    </r>
    <r>
      <rPr>
        <sz val="8"/>
        <color rgb="FF000000"/>
        <rFont val="Times New Roman"/>
        <family val="1"/>
      </rPr>
      <t xml:space="preserve"> </t>
    </r>
    <r>
      <rPr>
        <sz val="8"/>
        <color rgb="FF000000"/>
        <rFont val="Calibri"/>
        <family val="2"/>
      </rPr>
      <t>d</t>
    </r>
    <r>
      <rPr>
        <sz val="8"/>
        <color rgb="FF000000"/>
        <rFont val="Calibri"/>
        <family val="2"/>
      </rPr>
      <t>r</t>
    </r>
    <r>
      <rPr>
        <sz val="8"/>
        <color rgb="FF000000"/>
        <rFont val="Calibri"/>
        <family val="2"/>
      </rPr>
      <t>i</t>
    </r>
    <r>
      <rPr>
        <sz val="8"/>
        <color rgb="FF000000"/>
        <rFont val="Calibri"/>
        <family val="2"/>
      </rPr>
      <t>f</t>
    </r>
    <r>
      <rPr>
        <sz val="8"/>
        <color rgb="FF000000"/>
        <rFont val="Calibri"/>
        <family val="2"/>
      </rPr>
      <t>t</t>
    </r>
  </si>
  <si>
    <r>
      <rPr>
        <sz val="8"/>
        <color rgb="FF000000"/>
        <rFont val="Calibri"/>
        <family val="2"/>
      </rPr>
      <t>Vann</t>
    </r>
    <r>
      <rPr>
        <sz val="8"/>
        <color rgb="FF000000"/>
        <rFont val="Calibri"/>
        <family val="2"/>
      </rPr>
      <t>f</t>
    </r>
    <r>
      <rPr>
        <sz val="8"/>
        <color rgb="FF000000"/>
        <rFont val="Calibri"/>
        <family val="2"/>
      </rPr>
      <t>o</t>
    </r>
    <r>
      <rPr>
        <sz val="8"/>
        <color rgb="FF000000"/>
        <rFont val="Calibri"/>
        <family val="2"/>
      </rPr>
      <t>r</t>
    </r>
    <r>
      <rPr>
        <sz val="8"/>
        <color rgb="FF000000"/>
        <rFont val="Calibri"/>
        <family val="2"/>
      </rPr>
      <t>b</t>
    </r>
    <r>
      <rPr>
        <sz val="8"/>
        <color rgb="FF000000"/>
        <rFont val="Calibri"/>
        <family val="2"/>
      </rPr>
      <t>r</t>
    </r>
    <r>
      <rPr>
        <sz val="8"/>
        <color rgb="FF000000"/>
        <rFont val="Calibri"/>
        <family val="2"/>
      </rPr>
      <t>uk</t>
    </r>
    <r>
      <rPr>
        <sz val="8"/>
        <color rgb="FF000000"/>
        <rFont val="Times New Roman"/>
        <family val="1"/>
      </rPr>
      <t xml:space="preserve"> </t>
    </r>
    <r>
      <rPr>
        <sz val="8"/>
        <color rgb="FF000000"/>
        <rFont val="Calibri"/>
        <family val="2"/>
      </rPr>
      <t>i</t>
    </r>
    <r>
      <rPr>
        <sz val="8"/>
        <color rgb="FF000000"/>
        <rFont val="Times New Roman"/>
        <family val="1"/>
      </rPr>
      <t xml:space="preserve"> </t>
    </r>
    <r>
      <rPr>
        <sz val="8"/>
        <color rgb="FF000000"/>
        <rFont val="Calibri"/>
        <family val="2"/>
      </rPr>
      <t>d</t>
    </r>
    <r>
      <rPr>
        <sz val="8"/>
        <color rgb="FF000000"/>
        <rFont val="Calibri"/>
        <family val="2"/>
      </rPr>
      <t>r</t>
    </r>
    <r>
      <rPr>
        <sz val="8"/>
        <color rgb="FF000000"/>
        <rFont val="Calibri"/>
        <family val="2"/>
      </rPr>
      <t>i</t>
    </r>
    <r>
      <rPr>
        <sz val="8"/>
        <color rgb="FF000000"/>
        <rFont val="Calibri"/>
        <family val="2"/>
      </rPr>
      <t>f</t>
    </r>
    <r>
      <rPr>
        <sz val="8"/>
        <color rgb="FF000000"/>
        <rFont val="Calibri"/>
        <family val="2"/>
      </rPr>
      <t>t</t>
    </r>
  </si>
  <si>
    <r>
      <rPr>
        <sz val="8"/>
        <color rgb="FF000000"/>
        <rFont val="Calibri"/>
        <family val="2"/>
      </rPr>
      <t>T</t>
    </r>
    <r>
      <rPr>
        <sz val="8"/>
        <color rgb="FF000000"/>
        <rFont val="Calibri"/>
        <family val="2"/>
      </rPr>
      <t>r</t>
    </r>
    <r>
      <rPr>
        <sz val="8"/>
        <color rgb="FF000000"/>
        <rFont val="Calibri"/>
        <family val="2"/>
      </rPr>
      <t>ansp</t>
    </r>
    <r>
      <rPr>
        <sz val="8"/>
        <color rgb="FF000000"/>
        <rFont val="Calibri"/>
        <family val="2"/>
      </rPr>
      <t>o</t>
    </r>
    <r>
      <rPr>
        <sz val="8"/>
        <color rgb="FF000000"/>
        <rFont val="Calibri"/>
        <family val="2"/>
      </rPr>
      <t>r</t>
    </r>
    <r>
      <rPr>
        <sz val="8"/>
        <color rgb="FF000000"/>
        <rFont val="Calibri"/>
        <family val="2"/>
      </rPr>
      <t>t</t>
    </r>
    <r>
      <rPr>
        <sz val="8"/>
        <color rgb="FF000000"/>
        <rFont val="Times New Roman"/>
        <family val="1"/>
      </rPr>
      <t xml:space="preserve"> </t>
    </r>
    <r>
      <rPr>
        <sz val="8"/>
        <color rgb="FF000000"/>
        <rFont val="Calibri"/>
        <family val="2"/>
      </rPr>
      <t>i</t>
    </r>
    <r>
      <rPr>
        <sz val="8"/>
        <color rgb="FF000000"/>
        <rFont val="Times New Roman"/>
        <family val="1"/>
      </rPr>
      <t xml:space="preserve"> </t>
    </r>
    <r>
      <rPr>
        <sz val="8"/>
        <color rgb="FF000000"/>
        <rFont val="Calibri"/>
        <family val="2"/>
      </rPr>
      <t>d</t>
    </r>
    <r>
      <rPr>
        <sz val="8"/>
        <color rgb="FF000000"/>
        <rFont val="Calibri"/>
        <family val="2"/>
      </rPr>
      <t>r</t>
    </r>
    <r>
      <rPr>
        <sz val="8"/>
        <color rgb="FF000000"/>
        <rFont val="Calibri"/>
        <family val="2"/>
      </rPr>
      <t>i</t>
    </r>
    <r>
      <rPr>
        <sz val="8"/>
        <color rgb="FF000000"/>
        <rFont val="Calibri"/>
        <family val="2"/>
      </rPr>
      <t>f</t>
    </r>
    <r>
      <rPr>
        <sz val="8"/>
        <color rgb="FF000000"/>
        <rFont val="Calibri"/>
        <family val="2"/>
      </rPr>
      <t>t</t>
    </r>
  </si>
  <si>
    <r>
      <rPr>
        <sz val="8"/>
        <color rgb="FF000000"/>
        <rFont val="Calibri"/>
        <family val="2"/>
      </rPr>
      <t>R</t>
    </r>
    <r>
      <rPr>
        <sz val="8"/>
        <color rgb="FF000000"/>
        <rFont val="Calibri"/>
        <family val="2"/>
      </rPr>
      <t>i</t>
    </r>
    <r>
      <rPr>
        <sz val="8"/>
        <color rgb="FF000000"/>
        <rFont val="Calibri"/>
        <family val="2"/>
      </rPr>
      <t>v</t>
    </r>
    <r>
      <rPr>
        <sz val="8"/>
        <color rgb="FF000000"/>
        <rFont val="Calibri"/>
        <family val="2"/>
      </rPr>
      <t>i</t>
    </r>
    <r>
      <rPr>
        <sz val="8"/>
        <color rgb="FF000000"/>
        <rFont val="Calibri"/>
        <family val="2"/>
      </rPr>
      <t>ng</t>
    </r>
  </si>
  <si>
    <r>
      <rPr>
        <sz val="8"/>
        <color rgb="FF000000"/>
        <rFont val="Calibri"/>
        <family val="2"/>
      </rPr>
      <t>A</t>
    </r>
    <r>
      <rPr>
        <sz val="8"/>
        <color rgb="FF000000"/>
        <rFont val="Calibri"/>
        <family val="2"/>
      </rPr>
      <t>v</t>
    </r>
    <r>
      <rPr>
        <sz val="8"/>
        <color rgb="FF000000"/>
        <rFont val="Calibri"/>
        <family val="2"/>
      </rPr>
      <t>f</t>
    </r>
    <r>
      <rPr>
        <sz val="8"/>
        <color rgb="FF000000"/>
        <rFont val="Calibri"/>
        <family val="2"/>
      </rPr>
      <t>a</t>
    </r>
    <r>
      <rPr>
        <sz val="8"/>
        <color rgb="FF000000"/>
        <rFont val="Calibri"/>
        <family val="2"/>
      </rPr>
      <t>l</t>
    </r>
    <r>
      <rPr>
        <sz val="8"/>
        <color rgb="FF000000"/>
        <rFont val="Calibri"/>
        <family val="2"/>
      </rPr>
      <t>l</t>
    </r>
    <r>
      <rPr>
        <sz val="8"/>
        <color rgb="FF000000"/>
        <rFont val="Calibri"/>
        <family val="2"/>
      </rPr>
      <t>sb</t>
    </r>
    <r>
      <rPr>
        <sz val="8"/>
        <color rgb="FF000000"/>
        <rFont val="Calibri"/>
        <family val="2"/>
      </rPr>
      <t>e</t>
    </r>
    <r>
      <rPr>
        <sz val="8"/>
        <color rgb="FF000000"/>
        <rFont val="Calibri"/>
        <family val="2"/>
      </rPr>
      <t>hand</t>
    </r>
    <r>
      <rPr>
        <sz val="8"/>
        <color rgb="FF000000"/>
        <rFont val="Calibri"/>
        <family val="2"/>
      </rPr>
      <t>l</t>
    </r>
    <r>
      <rPr>
        <sz val="8"/>
        <color rgb="FF000000"/>
        <rFont val="Calibri"/>
        <family val="2"/>
      </rPr>
      <t>i</t>
    </r>
    <r>
      <rPr>
        <sz val="8"/>
        <color rgb="FF000000"/>
        <rFont val="Calibri"/>
        <family val="2"/>
      </rPr>
      <t>ng</t>
    </r>
  </si>
  <si>
    <r>
      <rPr>
        <sz val="8"/>
        <color rgb="FF000000"/>
        <rFont val="Calibri"/>
        <family val="2"/>
      </rPr>
      <t>A</t>
    </r>
    <r>
      <rPr>
        <sz val="8"/>
        <color rgb="FF000000"/>
        <rFont val="Calibri"/>
        <family val="2"/>
      </rPr>
      <t>v</t>
    </r>
    <r>
      <rPr>
        <sz val="8"/>
        <color rgb="FF000000"/>
        <rFont val="Calibri"/>
        <family val="2"/>
      </rPr>
      <t>h</t>
    </r>
    <r>
      <rPr>
        <sz val="8"/>
        <color rgb="FF000000"/>
        <rFont val="Calibri"/>
        <family val="2"/>
      </rPr>
      <t>e</t>
    </r>
    <r>
      <rPr>
        <sz val="8"/>
        <color rgb="FF000000"/>
        <rFont val="Calibri"/>
        <family val="2"/>
      </rPr>
      <t>nd</t>
    </r>
    <r>
      <rPr>
        <sz val="8"/>
        <color rgb="FF000000"/>
        <rFont val="Calibri"/>
        <family val="2"/>
      </rPr>
      <t>i</t>
    </r>
    <r>
      <rPr>
        <sz val="8"/>
        <color rgb="FF000000"/>
        <rFont val="Calibri"/>
        <family val="2"/>
      </rPr>
      <t>ng</t>
    </r>
  </si>
  <si>
    <r>
      <rPr>
        <sz val="8"/>
        <color rgb="FF000000"/>
        <rFont val="Calibri"/>
        <family val="2"/>
      </rPr>
      <t>M</t>
    </r>
    <r>
      <rPr>
        <sz val="8"/>
        <color rgb="FF000000"/>
        <rFont val="Calibri"/>
        <family val="2"/>
      </rPr>
      <t>a</t>
    </r>
    <r>
      <rPr>
        <sz val="8"/>
        <color rgb="FF000000"/>
        <rFont val="Calibri"/>
        <family val="2"/>
      </rPr>
      <t>t</t>
    </r>
    <r>
      <rPr>
        <sz val="8"/>
        <color rgb="FF000000"/>
        <rFont val="Calibri"/>
        <family val="2"/>
      </rPr>
      <t>e</t>
    </r>
    <r>
      <rPr>
        <sz val="8"/>
        <color rgb="FF000000"/>
        <rFont val="Calibri"/>
        <family val="2"/>
      </rPr>
      <t>r</t>
    </r>
    <r>
      <rPr>
        <sz val="8"/>
        <color rgb="FF000000"/>
        <rFont val="Calibri"/>
        <family val="2"/>
      </rPr>
      <t>i</t>
    </r>
    <r>
      <rPr>
        <sz val="8"/>
        <color rgb="FF000000"/>
        <rFont val="Calibri"/>
        <family val="2"/>
      </rPr>
      <t>a</t>
    </r>
    <r>
      <rPr>
        <sz val="8"/>
        <color rgb="FF000000"/>
        <rFont val="Calibri"/>
        <family val="2"/>
      </rPr>
      <t>l</t>
    </r>
    <r>
      <rPr>
        <sz val="8"/>
        <color rgb="FF000000"/>
        <rFont val="Calibri"/>
        <family val="2"/>
      </rPr>
      <t>-</t>
    </r>
    <r>
      <rPr>
        <sz val="8"/>
        <color rgb="FF000000"/>
        <rFont val="Times New Roman"/>
        <family val="1"/>
      </rPr>
      <t xml:space="preserve"> </t>
    </r>
    <r>
      <rPr>
        <sz val="8"/>
        <color rgb="FF000000"/>
        <rFont val="Calibri"/>
        <family val="2"/>
      </rPr>
      <t>o</t>
    </r>
    <r>
      <rPr>
        <sz val="8"/>
        <color rgb="FF000000"/>
        <rFont val="Calibri"/>
        <family val="2"/>
      </rPr>
      <t xml:space="preserve">g
</t>
    </r>
    <r>
      <rPr>
        <sz val="8"/>
        <color rgb="FF000000"/>
        <rFont val="Calibri"/>
        <family val="2"/>
      </rPr>
      <t>e</t>
    </r>
    <r>
      <rPr>
        <sz val="8"/>
        <color rgb="FF000000"/>
        <rFont val="Calibri"/>
        <family val="2"/>
      </rPr>
      <t>n</t>
    </r>
    <r>
      <rPr>
        <sz val="8"/>
        <color rgb="FF000000"/>
        <rFont val="Calibri"/>
        <family val="2"/>
      </rPr>
      <t>e</t>
    </r>
    <r>
      <rPr>
        <sz val="8"/>
        <color rgb="FF000000"/>
        <rFont val="Calibri"/>
        <family val="2"/>
      </rPr>
      <t>r</t>
    </r>
    <r>
      <rPr>
        <sz val="8"/>
        <color rgb="FF000000"/>
        <rFont val="Calibri"/>
        <family val="2"/>
      </rPr>
      <t>g</t>
    </r>
    <r>
      <rPr>
        <sz val="8"/>
        <color rgb="FF000000"/>
        <rFont val="Calibri"/>
        <family val="2"/>
      </rPr>
      <t>i</t>
    </r>
    <r>
      <rPr>
        <sz val="8"/>
        <color rgb="FF000000"/>
        <rFont val="Calibri"/>
        <family val="2"/>
      </rPr>
      <t>g</t>
    </r>
    <r>
      <rPr>
        <sz val="8"/>
        <color rgb="FF000000"/>
        <rFont val="Calibri"/>
        <family val="2"/>
      </rPr>
      <t>j</t>
    </r>
    <r>
      <rPr>
        <sz val="8"/>
        <color rgb="FF000000"/>
        <rFont val="Calibri"/>
        <family val="2"/>
      </rPr>
      <t>e</t>
    </r>
    <r>
      <rPr>
        <sz val="8"/>
        <color rgb="FF000000"/>
        <rFont val="Calibri"/>
        <family val="2"/>
      </rPr>
      <t>n</t>
    </r>
    <r>
      <rPr>
        <sz val="8"/>
        <color rgb="FF000000"/>
        <rFont val="Calibri"/>
        <family val="2"/>
      </rPr>
      <t>v</t>
    </r>
    <r>
      <rPr>
        <sz val="8"/>
        <color rgb="FF000000"/>
        <rFont val="Calibri"/>
        <family val="2"/>
      </rPr>
      <t>i</t>
    </r>
    <r>
      <rPr>
        <sz val="8"/>
        <color rgb="FF000000"/>
        <rFont val="Calibri"/>
        <family val="2"/>
      </rPr>
      <t>nn</t>
    </r>
    <r>
      <rPr>
        <sz val="8"/>
        <color rgb="FF000000"/>
        <rFont val="Calibri"/>
        <family val="2"/>
      </rPr>
      <t>i</t>
    </r>
    <r>
      <rPr>
        <sz val="8"/>
        <color rgb="FF000000"/>
        <rFont val="Calibri"/>
        <family val="2"/>
      </rPr>
      <t>ng</t>
    </r>
    <r>
      <rPr>
        <sz val="8"/>
        <color rgb="FF000000"/>
        <rFont val="Times New Roman"/>
        <family val="1"/>
      </rPr>
      <t xml:space="preserve"> </t>
    </r>
    <r>
      <rPr>
        <sz val="8"/>
        <color rgb="FF000000"/>
        <rFont val="Calibri"/>
        <family val="2"/>
      </rPr>
      <t>o</t>
    </r>
    <r>
      <rPr>
        <sz val="8"/>
        <color rgb="FF000000"/>
        <rFont val="Calibri"/>
        <family val="2"/>
      </rPr>
      <t>g</t>
    </r>
    <r>
      <rPr>
        <sz val="8"/>
        <color rgb="FF000000"/>
        <rFont val="Times New Roman"/>
        <family val="1"/>
      </rPr>
      <t xml:space="preserve"> </t>
    </r>
    <r>
      <rPr>
        <sz val="8"/>
        <color rgb="FF000000"/>
        <rFont val="Calibri"/>
        <family val="2"/>
      </rPr>
      <t>o</t>
    </r>
    <r>
      <rPr>
        <sz val="8"/>
        <color rgb="FF000000"/>
        <rFont val="Calibri"/>
        <family val="2"/>
      </rPr>
      <t>m</t>
    </r>
    <r>
      <rPr>
        <sz val="8"/>
        <color rgb="FF000000"/>
        <rFont val="Calibri"/>
        <family val="2"/>
      </rPr>
      <t>b</t>
    </r>
    <r>
      <rPr>
        <sz val="8"/>
        <color rgb="FF000000"/>
        <rFont val="Calibri"/>
        <family val="2"/>
      </rPr>
      <t>r</t>
    </r>
    <r>
      <rPr>
        <sz val="8"/>
        <color rgb="FF000000"/>
        <rFont val="Calibri"/>
        <family val="2"/>
      </rPr>
      <t>uk</t>
    </r>
    <r>
      <rPr>
        <sz val="8"/>
        <color rgb="FF000000"/>
        <rFont val="Times New Roman"/>
        <family val="1"/>
      </rPr>
      <t xml:space="preserve"> </t>
    </r>
    <r>
      <rPr>
        <sz val="8"/>
        <color rgb="FF000000"/>
        <rFont val="Calibri"/>
        <family val="2"/>
      </rPr>
      <t>av</t>
    </r>
    <r>
      <rPr>
        <sz val="8"/>
        <color rgb="FF000000"/>
        <rFont val="Times New Roman"/>
        <family val="1"/>
      </rPr>
      <t xml:space="preserve"> </t>
    </r>
    <r>
      <rPr>
        <sz val="8"/>
        <color rgb="FF000000"/>
        <rFont val="Calibri"/>
        <family val="2"/>
      </rPr>
      <t>m</t>
    </r>
    <r>
      <rPr>
        <sz val="8"/>
        <color rgb="FF000000"/>
        <rFont val="Calibri"/>
        <family val="2"/>
      </rPr>
      <t>a</t>
    </r>
    <r>
      <rPr>
        <sz val="8"/>
        <color rgb="FF000000"/>
        <rFont val="Calibri"/>
        <family val="2"/>
      </rPr>
      <t>t</t>
    </r>
    <r>
      <rPr>
        <sz val="8"/>
        <color rgb="FF000000"/>
        <rFont val="Calibri"/>
        <family val="2"/>
      </rPr>
      <t>e</t>
    </r>
    <r>
      <rPr>
        <sz val="8"/>
        <color rgb="FF000000"/>
        <rFont val="Calibri"/>
        <family val="2"/>
      </rPr>
      <t>r</t>
    </r>
    <r>
      <rPr>
        <sz val="8"/>
        <color rgb="FF000000"/>
        <rFont val="Calibri"/>
        <family val="2"/>
      </rPr>
      <t>i</t>
    </r>
    <r>
      <rPr>
        <sz val="8"/>
        <color rgb="FF000000"/>
        <rFont val="Calibri"/>
        <family val="2"/>
      </rPr>
      <t>a</t>
    </r>
    <r>
      <rPr>
        <sz val="8"/>
        <color rgb="FF000000"/>
        <rFont val="Calibri"/>
        <family val="2"/>
      </rPr>
      <t>l</t>
    </r>
    <r>
      <rPr>
        <sz val="8"/>
        <color rgb="FF000000"/>
        <rFont val="Calibri"/>
        <family val="2"/>
      </rPr>
      <t>e</t>
    </r>
    <r>
      <rPr>
        <sz val="8"/>
        <color rgb="FF000000"/>
        <rFont val="Calibri"/>
        <family val="2"/>
      </rPr>
      <t>r</t>
    </r>
    <r>
      <rPr>
        <sz val="8"/>
        <color rgb="FF000000"/>
        <rFont val="Times New Roman"/>
        <family val="1"/>
      </rPr>
      <t xml:space="preserve"> </t>
    </r>
    <r>
      <rPr>
        <sz val="8"/>
        <color rgb="FF000000"/>
        <rFont val="Calibri"/>
        <family val="2"/>
      </rPr>
      <t>o</t>
    </r>
    <r>
      <rPr>
        <sz val="8"/>
        <color rgb="FF000000"/>
        <rFont val="Calibri"/>
        <family val="2"/>
      </rPr>
      <t>g</t>
    </r>
    <r>
      <rPr>
        <sz val="8"/>
        <color rgb="FF000000"/>
        <rFont val="Times New Roman"/>
        <family val="1"/>
      </rPr>
      <t xml:space="preserve"> </t>
    </r>
    <r>
      <rPr>
        <sz val="8"/>
        <color rgb="FF000000"/>
        <rFont val="Calibri"/>
        <family val="2"/>
      </rPr>
      <t>e</t>
    </r>
    <r>
      <rPr>
        <sz val="8"/>
        <color rgb="FF000000"/>
        <rFont val="Calibri"/>
        <family val="2"/>
      </rPr>
      <t>k</t>
    </r>
    <r>
      <rPr>
        <sz val="8"/>
        <color rgb="FF000000"/>
        <rFont val="Calibri"/>
        <family val="2"/>
      </rPr>
      <t>sp</t>
    </r>
    <r>
      <rPr>
        <sz val="8"/>
        <color rgb="FF000000"/>
        <rFont val="Calibri"/>
        <family val="2"/>
      </rPr>
      <t>o</t>
    </r>
    <r>
      <rPr>
        <sz val="8"/>
        <color rgb="FF000000"/>
        <rFont val="Calibri"/>
        <family val="2"/>
      </rPr>
      <t>r</t>
    </r>
    <r>
      <rPr>
        <sz val="8"/>
        <color rgb="FF000000"/>
        <rFont val="Calibri"/>
        <family val="2"/>
      </rPr>
      <t>t</t>
    </r>
    <r>
      <rPr>
        <sz val="8"/>
        <color rgb="FF000000"/>
        <rFont val="Times New Roman"/>
        <family val="1"/>
      </rPr>
      <t xml:space="preserve"> </t>
    </r>
    <r>
      <rPr>
        <sz val="8"/>
        <color rgb="FF000000"/>
        <rFont val="Calibri"/>
        <family val="2"/>
      </rPr>
      <t>av</t>
    </r>
    <r>
      <rPr>
        <sz val="8"/>
        <color rgb="FF000000"/>
        <rFont val="Times New Roman"/>
        <family val="1"/>
      </rPr>
      <t xml:space="preserve"> </t>
    </r>
    <r>
      <rPr>
        <sz val="8"/>
        <color rgb="FF000000"/>
        <rFont val="Calibri"/>
        <family val="2"/>
      </rPr>
      <t>e</t>
    </r>
    <r>
      <rPr>
        <sz val="8"/>
        <color rgb="FF000000"/>
        <rFont val="Calibri"/>
        <family val="2"/>
      </rPr>
      <t>g</t>
    </r>
    <r>
      <rPr>
        <sz val="8"/>
        <color rgb="FF000000"/>
        <rFont val="Calibri"/>
        <family val="2"/>
      </rPr>
      <t>e</t>
    </r>
    <r>
      <rPr>
        <sz val="8"/>
        <color rgb="FF000000"/>
        <rFont val="Calibri"/>
        <family val="2"/>
      </rPr>
      <t>np</t>
    </r>
    <r>
      <rPr>
        <sz val="8"/>
        <color rgb="FF000000"/>
        <rFont val="Calibri"/>
        <family val="2"/>
      </rPr>
      <t>r</t>
    </r>
    <r>
      <rPr>
        <sz val="8"/>
        <color rgb="FF000000"/>
        <rFont val="Calibri"/>
        <family val="2"/>
      </rPr>
      <t>o</t>
    </r>
    <r>
      <rPr>
        <sz val="8"/>
        <color rgb="FF000000"/>
        <rFont val="Calibri"/>
        <family val="2"/>
      </rPr>
      <t>dus</t>
    </r>
    <r>
      <rPr>
        <sz val="8"/>
        <color rgb="FF000000"/>
        <rFont val="Calibri"/>
        <family val="2"/>
      </rPr>
      <t>e</t>
    </r>
    <r>
      <rPr>
        <sz val="8"/>
        <color rgb="FF000000"/>
        <rFont val="Calibri"/>
        <family val="2"/>
      </rPr>
      <t>r</t>
    </r>
    <r>
      <rPr>
        <sz val="8"/>
        <color rgb="FF000000"/>
        <rFont val="Calibri"/>
        <family val="2"/>
      </rPr>
      <t>t</t>
    </r>
    <r>
      <rPr>
        <sz val="8"/>
        <color rgb="FF000000"/>
        <rFont val="Times New Roman"/>
        <family val="1"/>
      </rPr>
      <t xml:space="preserve"> </t>
    </r>
    <r>
      <rPr>
        <sz val="8"/>
        <color rgb="FF000000"/>
        <rFont val="Calibri"/>
        <family val="2"/>
      </rPr>
      <t>e</t>
    </r>
    <r>
      <rPr>
        <sz val="8"/>
        <color rgb="FF000000"/>
        <rFont val="Calibri"/>
        <family val="2"/>
      </rPr>
      <t>n</t>
    </r>
    <r>
      <rPr>
        <sz val="8"/>
        <color rgb="FF000000"/>
        <rFont val="Calibri"/>
        <family val="2"/>
      </rPr>
      <t>e</t>
    </r>
    <r>
      <rPr>
        <sz val="8"/>
        <color rgb="FF000000"/>
        <rFont val="Calibri"/>
        <family val="2"/>
      </rPr>
      <t>r</t>
    </r>
    <r>
      <rPr>
        <sz val="8"/>
        <color rgb="FF000000"/>
        <rFont val="Calibri"/>
        <family val="2"/>
      </rPr>
      <t>g</t>
    </r>
    <r>
      <rPr>
        <sz val="8"/>
        <color rgb="FF000000"/>
        <rFont val="Calibri"/>
        <family val="2"/>
      </rPr>
      <t>i</t>
    </r>
  </si>
  <si>
    <r>
      <rPr>
        <b/>
        <sz val="8"/>
        <color rgb="FF000000"/>
        <rFont val="Calibri"/>
        <family val="2"/>
      </rPr>
      <t>M</t>
    </r>
    <r>
      <rPr>
        <b/>
        <sz val="8"/>
        <color rgb="FF000000"/>
        <rFont val="Calibri"/>
        <family val="2"/>
      </rPr>
      <t>odu</t>
    </r>
    <r>
      <rPr>
        <b/>
        <sz val="8"/>
        <color rgb="FF000000"/>
        <rFont val="Calibri"/>
        <family val="2"/>
      </rPr>
      <t>l</t>
    </r>
    <r>
      <rPr>
        <b/>
        <sz val="8"/>
        <color rgb="FF000000"/>
        <rFont val="Calibri"/>
        <family val="2"/>
      </rPr>
      <t>e</t>
    </r>
    <r>
      <rPr>
        <b/>
        <sz val="8"/>
        <color rgb="FF000000"/>
        <rFont val="Calibri"/>
        <family val="2"/>
      </rPr>
      <t>r</t>
    </r>
    <r>
      <rPr>
        <b/>
        <sz val="8"/>
        <color rgb="FF000000"/>
        <rFont val="Times New Roman"/>
        <family val="1"/>
      </rPr>
      <t xml:space="preserve"> </t>
    </r>
    <r>
      <rPr>
        <b/>
        <sz val="8"/>
        <color rgb="FF000000"/>
        <rFont val="Calibri"/>
        <family val="2"/>
      </rPr>
      <t>i</t>
    </r>
    <r>
      <rPr>
        <b/>
        <sz val="8"/>
        <color rgb="FF000000"/>
        <rFont val="Times New Roman"/>
        <family val="1"/>
      </rPr>
      <t xml:space="preserve"> </t>
    </r>
    <r>
      <rPr>
        <b/>
        <sz val="8"/>
        <color rgb="FF000000"/>
        <rFont val="Calibri"/>
        <family val="2"/>
      </rPr>
      <t>u</t>
    </r>
    <r>
      <rPr>
        <b/>
        <sz val="8"/>
        <color rgb="FF000000"/>
        <rFont val="Calibri"/>
        <family val="2"/>
      </rPr>
      <t>l</t>
    </r>
    <r>
      <rPr>
        <b/>
        <sz val="8"/>
        <color rgb="FF000000"/>
        <rFont val="Calibri"/>
        <family val="2"/>
      </rPr>
      <t>i</t>
    </r>
    <r>
      <rPr>
        <b/>
        <sz val="8"/>
        <color rgb="FF000000"/>
        <rFont val="Calibri"/>
        <family val="2"/>
      </rPr>
      <t>ke</t>
    </r>
    <r>
      <rPr>
        <b/>
        <sz val="8"/>
        <color rgb="FF000000"/>
        <rFont val="Times New Roman"/>
        <family val="1"/>
      </rPr>
      <t xml:space="preserve"> </t>
    </r>
    <r>
      <rPr>
        <b/>
        <sz val="8"/>
        <color rgb="FF000000"/>
        <rFont val="Calibri"/>
        <family val="2"/>
      </rPr>
      <t>s</t>
    </r>
    <r>
      <rPr>
        <b/>
        <sz val="8"/>
        <color rgb="FF000000"/>
        <rFont val="Calibri"/>
        <family val="2"/>
      </rPr>
      <t>e</t>
    </r>
    <r>
      <rPr>
        <b/>
        <sz val="8"/>
        <color rgb="FF000000"/>
        <rFont val="Calibri"/>
        <family val="2"/>
      </rPr>
      <t>r</t>
    </r>
    <r>
      <rPr>
        <b/>
        <sz val="8"/>
        <color rgb="FF000000"/>
        <rFont val="Calibri"/>
        <family val="2"/>
      </rPr>
      <t>t</t>
    </r>
    <r>
      <rPr>
        <b/>
        <sz val="8"/>
        <color rgb="FF000000"/>
        <rFont val="Calibri"/>
        <family val="2"/>
      </rPr>
      <t>i</t>
    </r>
    <r>
      <rPr>
        <b/>
        <sz val="8"/>
        <color rgb="FF000000"/>
        <rFont val="Calibri"/>
        <family val="2"/>
      </rPr>
      <t>f</t>
    </r>
    <r>
      <rPr>
        <b/>
        <sz val="8"/>
        <color rgb="FF000000"/>
        <rFont val="Calibri"/>
        <family val="2"/>
      </rPr>
      <t>i</t>
    </r>
    <r>
      <rPr>
        <b/>
        <sz val="8"/>
        <color rgb="FF000000"/>
        <rFont val="Calibri"/>
        <family val="2"/>
      </rPr>
      <t>s</t>
    </r>
    <r>
      <rPr>
        <b/>
        <sz val="8"/>
        <color rgb="FF000000"/>
        <rFont val="Calibri"/>
        <family val="2"/>
      </rPr>
      <t>e</t>
    </r>
    <r>
      <rPr>
        <b/>
        <sz val="8"/>
        <color rgb="FF000000"/>
        <rFont val="Calibri"/>
        <family val="2"/>
      </rPr>
      <t>r</t>
    </r>
    <r>
      <rPr>
        <b/>
        <sz val="8"/>
        <color rgb="FF000000"/>
        <rFont val="Calibri"/>
        <family val="2"/>
      </rPr>
      <t>i</t>
    </r>
    <r>
      <rPr>
        <b/>
        <sz val="8"/>
        <color rgb="FF000000"/>
        <rFont val="Calibri"/>
        <family val="2"/>
      </rPr>
      <t>n</t>
    </r>
    <r>
      <rPr>
        <b/>
        <sz val="8"/>
        <color rgb="FF000000"/>
        <rFont val="Calibri"/>
        <family val="2"/>
      </rPr>
      <t>g</t>
    </r>
    <r>
      <rPr>
        <b/>
        <sz val="8"/>
        <color rgb="FF000000"/>
        <rFont val="Calibri"/>
        <family val="2"/>
      </rPr>
      <t>e</t>
    </r>
    <r>
      <rPr>
        <b/>
        <sz val="8"/>
        <color rgb="FF000000"/>
        <rFont val="Calibri"/>
        <family val="2"/>
      </rPr>
      <t>r</t>
    </r>
  </si>
  <si>
    <r>
      <rPr>
        <sz val="8"/>
        <color rgb="FF000000"/>
        <rFont val="Calibri"/>
        <family val="2"/>
      </rPr>
      <t>X</t>
    </r>
  </si>
  <si>
    <r>
      <rPr>
        <sz val="8"/>
        <color rgb="FF000000"/>
        <rFont val="Calibri"/>
        <family val="2"/>
      </rPr>
      <t>(</t>
    </r>
    <r>
      <rPr>
        <sz val="8"/>
        <color rgb="FF000000"/>
        <rFont val="Calibri"/>
        <family val="2"/>
      </rPr>
      <t>X</t>
    </r>
    <r>
      <rPr>
        <sz val="8"/>
        <color rgb="FF000000"/>
        <rFont val="Calibri"/>
        <family val="2"/>
      </rPr>
      <t>)</t>
    </r>
  </si>
  <si>
    <r>
      <rPr>
        <b/>
        <sz val="8"/>
        <color rgb="FF000000"/>
        <rFont val="Calibri"/>
        <family val="2"/>
      </rPr>
      <t>B</t>
    </r>
    <r>
      <rPr>
        <b/>
        <sz val="8"/>
        <color rgb="FF000000"/>
        <rFont val="Calibri"/>
        <family val="2"/>
      </rPr>
      <t>r</t>
    </r>
    <r>
      <rPr>
        <b/>
        <sz val="8"/>
        <color rgb="FF000000"/>
        <rFont val="Calibri"/>
        <family val="2"/>
      </rPr>
      <t>e</t>
    </r>
    <r>
      <rPr>
        <b/>
        <sz val="8"/>
        <color rgb="FF000000"/>
        <rFont val="Calibri"/>
        <family val="2"/>
      </rPr>
      <t>e</t>
    </r>
    <r>
      <rPr>
        <b/>
        <sz val="8"/>
        <color rgb="FF000000"/>
        <rFont val="Calibri"/>
        <family val="2"/>
      </rPr>
      <t>a</t>
    </r>
    <r>
      <rPr>
        <b/>
        <sz val="8"/>
        <color rgb="FF000000"/>
        <rFont val="Calibri"/>
        <family val="2"/>
      </rPr>
      <t>m</t>
    </r>
  </si>
  <si>
    <t>Gjennomføringsstadiet</t>
  </si>
  <si>
    <t>A4 – A5</t>
  </si>
  <si>
    <t>Konsekvenser
utover systemgrensen
D</t>
  </si>
  <si>
    <r>
      <t>TILLEGGSINFORMASJON</t>
    </r>
    <r>
      <rPr>
        <b/>
        <sz val="8"/>
        <color rgb="FF000000"/>
        <rFont val="Times New Roman"/>
        <family val="1"/>
      </rPr>
      <t xml:space="preserve"> </t>
    </r>
    <r>
      <rPr>
        <b/>
        <sz val="8"/>
        <color rgb="FF000000"/>
        <rFont val="Calibri"/>
        <family val="2"/>
      </rPr>
      <t>UTOVER</t>
    </r>
    <r>
      <rPr>
        <b/>
        <sz val="8"/>
        <color rgb="FF000000"/>
        <rFont val="Times New Roman"/>
        <family val="1"/>
      </rPr>
      <t xml:space="preserve"> </t>
    </r>
    <r>
      <rPr>
        <b/>
        <sz val="8"/>
        <color rgb="FF000000"/>
        <rFont val="Calibri"/>
        <family val="2"/>
      </rPr>
      <t>BYGNINGENS</t>
    </r>
    <r>
      <rPr>
        <b/>
        <sz val="8"/>
        <color rgb="FF000000"/>
        <rFont val="Times New Roman"/>
        <family val="1"/>
      </rPr>
      <t xml:space="preserve"> </t>
    </r>
    <r>
      <rPr>
        <b/>
        <sz val="8"/>
        <color rgb="FF000000"/>
        <rFont val="Calibri"/>
        <family val="2"/>
      </rPr>
      <t>LIVSLØP</t>
    </r>
  </si>
  <si>
    <t xml:space="preserve">5.2 Systemgrense livsløpsmoduler i ulike krav/sertifiseringer </t>
  </si>
  <si>
    <t>Tiltak</t>
  </si>
  <si>
    <t xml:space="preserve">Lavutslippsalternativer for bæresystemer 
</t>
  </si>
  <si>
    <t>Lavutslippsalternativer for dekker</t>
  </si>
  <si>
    <t>Bæresystem og dekker i tre</t>
  </si>
  <si>
    <t>Rehabilitering av eksisterende bygg, evt.ombruk av bærende konstruksjoner</t>
  </si>
  <si>
    <t>20% 
reduksjon</t>
  </si>
  <si>
    <t>30% 
reduksjon</t>
  </si>
  <si>
    <t>40% 
reduksjon</t>
  </si>
  <si>
    <t>60%
reduksjon</t>
  </si>
  <si>
    <t>28 Trapper og balkonger</t>
  </si>
  <si>
    <t>Indeks</t>
  </si>
  <si>
    <t>Industribygg</t>
  </si>
  <si>
    <t>Se beregninger for stål i kapittel 1.1.</t>
  </si>
  <si>
    <t>Sandwichelementer, 200 mm</t>
  </si>
  <si>
    <t>96% av yttervegg</t>
  </si>
  <si>
    <t xml:space="preserve">Antar sandwich element – stålplate med 200 mm isolasjon. Paroc AST T and AST L fire proof panels og tilsvarende. </t>
  </si>
  <si>
    <t>Antar 15% lettklinker (som vegg over gulv på grunn) og 85% sandwich element. Ta utgangspunkt i en runde med leca (25 cm) rundt hele bygget (120 m omkrets) (40 m2)</t>
  </si>
  <si>
    <t>1,3% av yttervegg</t>
  </si>
  <si>
    <t>5% av BRA</t>
  </si>
  <si>
    <t>Justert med til 5% av BRA. (60 m2 vindu, 25 m2 dør)</t>
  </si>
  <si>
    <t>Endre til 15% fibersementplate (over lettklinker), resten sandwich</t>
  </si>
  <si>
    <t>Stålplate, Steel sheet 1 mm + wooden lathes 12x36 mm</t>
  </si>
  <si>
    <t>Tar ikke med stålplate, da sandwichelement inkluderer kledning</t>
  </si>
  <si>
    <t>2% av BRA</t>
  </si>
  <si>
    <t>Antar 2% av BRA</t>
  </si>
  <si>
    <t> VALGT: 25 m2 dør (samme som yttervegg)</t>
  </si>
  <si>
    <t>Innervegg: to stk vegger på «tvers» av bygget i hele høyden. 100% sandwitchelement med 150 mm tykkelse.</t>
  </si>
  <si>
    <t>100mm stålstender, mineralull, 1 lag gips hver side, stålstender</t>
  </si>
  <si>
    <t>100 mm steinull</t>
  </si>
  <si>
    <t>Sandwichelementer, 150 mm</t>
  </si>
  <si>
    <t>100% av innervegg,</t>
  </si>
  <si>
    <t>62% av BTA</t>
  </si>
  <si>
    <t>0 % av gipsvegg</t>
  </si>
  <si>
    <t>0% av betongvegg</t>
  </si>
  <si>
    <t>Innvendig dør</t>
  </si>
  <si>
    <t>2% av BTA</t>
  </si>
  <si>
    <t>Endret til 2% av BTA</t>
  </si>
  <si>
    <t xml:space="preserve">Betong hulldekke </t>
  </si>
  <si>
    <t xml:space="preserve">20% av bygget har hulldekke betong, </t>
  </si>
  <si>
    <t>HD320 mm</t>
  </si>
  <si>
    <t>Forutsetter at 20% av bygget har to etasjer, hulldekker 320 mm tykkelse.</t>
  </si>
  <si>
    <t>120mm betong + 100mm EPS</t>
  </si>
  <si>
    <r>
      <t>Benyttet 120 mm bunnplate og 100 mm EPS når det ikke er behov for ekstra fundamentering.</t>
    </r>
    <r>
      <rPr>
        <sz val="11"/>
        <color theme="1"/>
        <rFont val="Calibri"/>
        <family val="2"/>
      </rPr>
      <t xml:space="preserve"> </t>
    </r>
    <r>
      <rPr>
        <sz val="9"/>
        <color rgb="FF000000"/>
        <rFont val="Calibri"/>
        <family val="2"/>
      </rPr>
      <t>Ofte isoleres kun randsonen, ringmuren og litt på utsiden, så 100 mm benyttes som snitt under hele gulv på grunn.</t>
    </r>
  </si>
  <si>
    <t>50 mm armert påstøp + avrettingsmasse</t>
  </si>
  <si>
    <t>100% av hulldekker, armert påstøp og</t>
  </si>
  <si>
    <t>25 mm avrettingsmasse</t>
  </si>
  <si>
    <t>Antar 100% epoxy</t>
  </si>
  <si>
    <t>Epoxy</t>
  </si>
  <si>
    <t>100% av BRA</t>
  </si>
  <si>
    <t>Kermaisk fli, flislim og membran</t>
  </si>
  <si>
    <t>Antar ikke behov for himling under stålplatetak</t>
  </si>
  <si>
    <t>Isolasjon, stålplate dampsperre</t>
  </si>
  <si>
    <t xml:space="preserve"> 300 mm trykkfast steinull. </t>
  </si>
  <si>
    <t>Selvbærende stålplate, 1 mm tykkelse. 12,66 kg/m2</t>
  </si>
  <si>
    <t>Ståldetaljer</t>
  </si>
  <si>
    <t>Inkludert i stålbæresystem</t>
  </si>
  <si>
    <t>Inkluderes ikke i referansen</t>
  </si>
  <si>
    <t>Ingen sjakt</t>
  </si>
  <si>
    <t>SKJULES</t>
  </si>
  <si>
    <t>ANBEFALT UTSLIPPSRAMME (EKSKL. GRUNN OG FUNDAMENTER)</t>
  </si>
  <si>
    <t>X*</t>
  </si>
  <si>
    <t>Nr</t>
  </si>
  <si>
    <t>Dato</t>
  </si>
  <si>
    <t>Versjonslogg</t>
  </si>
  <si>
    <t>Skjules</t>
  </si>
  <si>
    <t>Mengde stål i søyler pr (x) m høyde bygg: =0,10839x+0,25821</t>
  </si>
  <si>
    <t>g CO2 e/pbt/år</t>
  </si>
  <si>
    <t>Brukes til fordele referansenivået per m2 BTA</t>
  </si>
  <si>
    <t>Høyde bygg (kun for industri) - kun heltall</t>
  </si>
  <si>
    <r>
      <t>m</t>
    </r>
    <r>
      <rPr>
        <b/>
        <vertAlign val="superscript"/>
        <sz val="11"/>
        <color theme="1"/>
        <rFont val="Calibri"/>
        <family val="2"/>
      </rPr>
      <t>2</t>
    </r>
    <r>
      <rPr>
        <b/>
        <sz val="11"/>
        <color theme="1"/>
        <rFont val="Calibri"/>
        <family val="2"/>
      </rPr>
      <t xml:space="preserve"> BTA</t>
    </r>
  </si>
  <si>
    <t>BTA for hele bygget (kun for industri)</t>
  </si>
  <si>
    <t>Versjon 3</t>
  </si>
  <si>
    <t>Versjon 2</t>
  </si>
  <si>
    <t>Gjelder kun for bygningskategori "Industri"</t>
  </si>
  <si>
    <t>kg CO2 ekv/m2 BTA</t>
  </si>
  <si>
    <t>Husk å velge bygningskategori (klikk på felt C7)</t>
  </si>
  <si>
    <t>kg CO2 e/m2 BTA</t>
  </si>
  <si>
    <r>
      <t>kg CO</t>
    </r>
    <r>
      <rPr>
        <b/>
        <vertAlign val="subscript"/>
        <sz val="11"/>
        <color theme="0"/>
        <rFont val="Calibri"/>
        <family val="2"/>
        <scheme val="minor"/>
      </rPr>
      <t>2</t>
    </r>
    <r>
      <rPr>
        <b/>
        <sz val="11"/>
        <color theme="0"/>
        <rFont val="Calibri"/>
        <family val="2"/>
        <scheme val="minor"/>
      </rPr>
      <t xml:space="preserve"> ekv./m2 BTA over 50 år </t>
    </r>
    <r>
      <rPr>
        <b/>
        <i/>
        <sz val="11"/>
        <color theme="0"/>
        <rFont val="Calibri"/>
        <family val="2"/>
        <scheme val="minor"/>
      </rPr>
      <t>inkl.</t>
    </r>
    <r>
      <rPr>
        <b/>
        <sz val="11"/>
        <color theme="0"/>
        <rFont val="Calibri"/>
        <family val="2"/>
        <scheme val="minor"/>
      </rPr>
      <t xml:space="preserve"> grunn og fundamenter</t>
    </r>
  </si>
  <si>
    <r>
      <t>kg CO</t>
    </r>
    <r>
      <rPr>
        <b/>
        <vertAlign val="subscript"/>
        <sz val="11"/>
        <color theme="0"/>
        <rFont val="Calibri"/>
        <family val="2"/>
        <scheme val="minor"/>
      </rPr>
      <t>2</t>
    </r>
    <r>
      <rPr>
        <b/>
        <sz val="11"/>
        <color theme="0"/>
        <rFont val="Calibri"/>
        <family val="2"/>
        <scheme val="minor"/>
      </rPr>
      <t xml:space="preserve"> ekv./m2 BTA over 50 år </t>
    </r>
    <r>
      <rPr>
        <b/>
        <i/>
        <sz val="11"/>
        <color theme="0"/>
        <rFont val="Calibri"/>
        <family val="2"/>
        <scheme val="minor"/>
      </rPr>
      <t>ekskl.</t>
    </r>
    <r>
      <rPr>
        <b/>
        <sz val="11"/>
        <color theme="0"/>
        <rFont val="Calibri"/>
        <family val="2"/>
        <scheme val="minor"/>
      </rPr>
      <t xml:space="preserve"> grunn og fundamenter</t>
    </r>
  </si>
  <si>
    <r>
      <t>kg CO</t>
    </r>
    <r>
      <rPr>
        <vertAlign val="subscript"/>
        <sz val="11"/>
        <color theme="1"/>
        <rFont val="Calibri"/>
        <family val="2"/>
        <scheme val="minor"/>
      </rPr>
      <t>2</t>
    </r>
    <r>
      <rPr>
        <sz val="11"/>
        <color theme="1"/>
        <rFont val="Calibri"/>
        <family val="2"/>
        <scheme val="minor"/>
      </rPr>
      <t xml:space="preserve"> ekv./m</t>
    </r>
    <r>
      <rPr>
        <vertAlign val="superscript"/>
        <sz val="11"/>
        <color theme="1"/>
        <rFont val="Calibri"/>
        <family val="2"/>
        <scheme val="minor"/>
      </rPr>
      <t>2</t>
    </r>
    <r>
      <rPr>
        <sz val="11"/>
        <color theme="1"/>
        <rFont val="Calibri"/>
        <family val="2"/>
        <scheme val="minor"/>
      </rPr>
      <t xml:space="preserve"> BTA</t>
    </r>
  </si>
  <si>
    <r>
      <t>kg CO</t>
    </r>
    <r>
      <rPr>
        <vertAlign val="subscript"/>
        <sz val="11"/>
        <color theme="1"/>
        <rFont val="Calibri"/>
        <family val="2"/>
        <scheme val="minor"/>
      </rPr>
      <t>2</t>
    </r>
    <r>
      <rPr>
        <sz val="11"/>
        <color theme="1"/>
        <rFont val="Calibri"/>
        <family val="2"/>
        <scheme val="minor"/>
      </rPr>
      <t xml:space="preserve"> ekv./m</t>
    </r>
    <r>
      <rPr>
        <vertAlign val="superscript"/>
        <sz val="11"/>
        <color theme="1"/>
        <rFont val="Calibri"/>
        <family val="2"/>
        <scheme val="minor"/>
      </rPr>
      <t>2</t>
    </r>
    <r>
      <rPr>
        <sz val="11"/>
        <color theme="1"/>
        <rFont val="Calibri"/>
        <family val="2"/>
        <scheme val="minor"/>
      </rPr>
      <t xml:space="preserve"> BTA/år</t>
    </r>
  </si>
  <si>
    <r>
      <t>kg CO</t>
    </r>
    <r>
      <rPr>
        <vertAlign val="subscript"/>
        <sz val="11"/>
        <color theme="1"/>
        <rFont val="Calibri"/>
        <family val="2"/>
        <scheme val="minor"/>
      </rPr>
      <t>2</t>
    </r>
    <r>
      <rPr>
        <sz val="11"/>
        <color theme="1"/>
        <rFont val="Calibri"/>
        <family val="2"/>
        <scheme val="minor"/>
      </rPr>
      <t xml:space="preserve"> ekv./m</t>
    </r>
    <r>
      <rPr>
        <vertAlign val="superscript"/>
        <sz val="11"/>
        <color theme="1"/>
        <rFont val="Calibri"/>
        <family val="2"/>
        <scheme val="minor"/>
      </rPr>
      <t>2</t>
    </r>
    <r>
      <rPr>
        <sz val="11"/>
        <color theme="1"/>
        <rFont val="Calibri"/>
        <family val="2"/>
        <scheme val="minor"/>
      </rPr>
      <t xml:space="preserve"> BRA/år</t>
    </r>
  </si>
  <si>
    <r>
      <t>g CO</t>
    </r>
    <r>
      <rPr>
        <vertAlign val="subscript"/>
        <sz val="11"/>
        <color theme="1"/>
        <rFont val="Calibri"/>
        <family val="2"/>
        <scheme val="minor"/>
      </rPr>
      <t>2</t>
    </r>
    <r>
      <rPr>
        <sz val="11"/>
        <color theme="1"/>
        <rFont val="Calibri"/>
        <family val="2"/>
        <scheme val="minor"/>
      </rPr>
      <t>-ekv./pbt/år</t>
    </r>
  </si>
  <si>
    <t>DFØ 2022</t>
  </si>
  <si>
    <t>A5 (kapp og svinn)</t>
  </si>
  <si>
    <t>A1-A4, A5 (kapp og svinn), B2 og B4</t>
  </si>
  <si>
    <r>
      <t>kg CO</t>
    </r>
    <r>
      <rPr>
        <b/>
        <vertAlign val="subscript"/>
        <sz val="12"/>
        <rFont val="Calibri"/>
        <family val="2"/>
        <scheme val="minor"/>
      </rPr>
      <t>2</t>
    </r>
    <r>
      <rPr>
        <b/>
        <sz val="12"/>
        <rFont val="Calibri"/>
        <family val="2"/>
        <scheme val="minor"/>
      </rPr>
      <t>-ekv./m</t>
    </r>
    <r>
      <rPr>
        <b/>
        <vertAlign val="superscript"/>
        <sz val="12"/>
        <rFont val="Calibri"/>
        <family val="2"/>
        <scheme val="minor"/>
      </rPr>
      <t xml:space="preserve">2 </t>
    </r>
    <r>
      <rPr>
        <b/>
        <sz val="12"/>
        <rFont val="Calibri"/>
        <family val="2"/>
        <scheme val="minor"/>
      </rPr>
      <t xml:space="preserve">BTA </t>
    </r>
  </si>
  <si>
    <r>
      <t>kg CO</t>
    </r>
    <r>
      <rPr>
        <vertAlign val="subscript"/>
        <sz val="11"/>
        <rFont val="Calibri"/>
        <family val="2"/>
        <scheme val="minor"/>
      </rPr>
      <t>2</t>
    </r>
    <r>
      <rPr>
        <sz val="11"/>
        <rFont val="Calibri"/>
        <family val="2"/>
        <scheme val="minor"/>
      </rPr>
      <t xml:space="preserve"> ekv./m</t>
    </r>
    <r>
      <rPr>
        <vertAlign val="superscript"/>
        <sz val="11"/>
        <rFont val="Calibri"/>
        <family val="2"/>
        <scheme val="minor"/>
      </rPr>
      <t>2</t>
    </r>
    <r>
      <rPr>
        <sz val="11"/>
        <rFont val="Calibri"/>
        <family val="2"/>
        <scheme val="minor"/>
      </rPr>
      <t xml:space="preserve"> BTA/år</t>
    </r>
  </si>
  <si>
    <r>
      <t>kg CO</t>
    </r>
    <r>
      <rPr>
        <vertAlign val="subscript"/>
        <sz val="11"/>
        <rFont val="Calibri"/>
        <family val="2"/>
        <scheme val="minor"/>
      </rPr>
      <t>2</t>
    </r>
    <r>
      <rPr>
        <sz val="11"/>
        <rFont val="Calibri"/>
        <family val="2"/>
        <scheme val="minor"/>
      </rPr>
      <t xml:space="preserve"> ekv./m</t>
    </r>
    <r>
      <rPr>
        <vertAlign val="superscript"/>
        <sz val="11"/>
        <rFont val="Calibri"/>
        <family val="2"/>
        <scheme val="minor"/>
      </rPr>
      <t>2</t>
    </r>
    <r>
      <rPr>
        <sz val="11"/>
        <rFont val="Calibri"/>
        <family val="2"/>
        <scheme val="minor"/>
      </rPr>
      <t xml:space="preserve"> BRA/år</t>
    </r>
  </si>
  <si>
    <r>
      <t>kg CO</t>
    </r>
    <r>
      <rPr>
        <vertAlign val="subscript"/>
        <sz val="11"/>
        <rFont val="Calibri"/>
        <family val="2"/>
        <scheme val="minor"/>
      </rPr>
      <t>2</t>
    </r>
    <r>
      <rPr>
        <sz val="11"/>
        <rFont val="Calibri"/>
        <family val="2"/>
        <scheme val="minor"/>
      </rPr>
      <t>-ekv./pbt/år</t>
    </r>
  </si>
  <si>
    <t>Versjon 4</t>
  </si>
  <si>
    <t>Referanse
A1-A3</t>
  </si>
  <si>
    <t>Lavutslipp
A1-A3</t>
  </si>
  <si>
    <t>kg CO2 ekv/m2 HD 265
kg CO2 ekv/tonn</t>
  </si>
  <si>
    <t>Avhengig av betong og spennarmering</t>
  </si>
  <si>
    <t>OSB plate, 15 mm</t>
  </si>
  <si>
    <t>kg CO2 e/tonn</t>
  </si>
  <si>
    <t>Sponplater, 22 mm</t>
  </si>
  <si>
    <t>Utvendig kledning, tre, 21 mm</t>
  </si>
  <si>
    <t>Vindu, 3 lags</t>
  </si>
  <si>
    <t>1,99
68,2</t>
  </si>
  <si>
    <t>kg CO2 e/kg
kg CO2 e/m2</t>
  </si>
  <si>
    <t xml:space="preserve">Verktøyet er oppdatert for å kunne tilfredstille min. kravene i TEK17 §17-1. 
Dette innebærer:
  - Levetid satt til 50 år
  - Livsløpsmodul A5 (kapp og svinn, ikke byggeplass/energi) er inkludert. 
Andre endringer:
Utslippsfaktorene for modellbyggene er oppdatert i tråd med TEK17. Utslippsfaktorene for enkelte materialkategorier er oppdatert for å bedre representere det faktiske markedet. 
Referansebygg for industribygg lagt til. 
Reduksjonsnivåene "Avansert" og "Spydspiss" til beregning av utslippsramme er erstattet med valgfri prosentvis reduksjon.
Utforming av verktøyet er noe endret pga. endringene forklart ovenfor. </t>
  </si>
  <si>
    <t>Oppdatert: 
-Forretning/næringsbygg (A1-A3)
-Oppvarmet og ikke oppvarmet kjeller (B2, B4)
-Industribygg (A1-A3, A4, A5, B2, B4)</t>
  </si>
  <si>
    <t>Se egen boks under for forklaring</t>
  </si>
  <si>
    <t>Tall i grønt - oppdatert mars 2026</t>
  </si>
  <si>
    <t>Versjon 5</t>
  </si>
  <si>
    <t>B7</t>
  </si>
  <si>
    <t>Bransjereferanse NB37, 2024</t>
  </si>
  <si>
    <t>59,2
159,4</t>
  </si>
  <si>
    <t>FBZero v.3.1</t>
  </si>
  <si>
    <t>Andre VVS-installasjoner</t>
  </si>
  <si>
    <t>Brannslukking</t>
  </si>
  <si>
    <t>Ventilasjon/luftbehandling</t>
  </si>
  <si>
    <t>FBZero V.3.1</t>
  </si>
  <si>
    <t>DFØ 2023/26</t>
  </si>
  <si>
    <t>Tabellen over er modifisert for DFØ sitt verktøy til å være tilpasset den nyeste versjonen av verktøyet. Endringer/tillegg i oppdatert versjon av verktøyet er markert i gult.</t>
  </si>
  <si>
    <t>Epoxybelegg</t>
  </si>
  <si>
    <t>Ikke oppvarmet kjeller har 90% epoxybelegg</t>
  </si>
  <si>
    <t>TEK17 §17-1</t>
  </si>
  <si>
    <t>TEK17 §17-2</t>
  </si>
  <si>
    <t>* Kapp og svinn, ikke energi</t>
  </si>
  <si>
    <t>Hotell</t>
  </si>
  <si>
    <t>Idrett, 4 m høyde</t>
  </si>
  <si>
    <t>Idrett, 7 m høyde</t>
  </si>
  <si>
    <t>Idrett, 9 m høyde</t>
  </si>
  <si>
    <t>Versjon 5. 06.03.2026</t>
  </si>
  <si>
    <t>Utslippstall for modellbygg i alle bygningskategorier er oppdatert for samvar med DiBK-utredning om mulig klimakrav i TEK17. Bygningskategoriene hotell og idrettsbygg lagt til</t>
  </si>
  <si>
    <r>
      <t xml:space="preserve">TEK17 §17-1
</t>
    </r>
    <r>
      <rPr>
        <b/>
        <sz val="10"/>
        <color theme="1"/>
        <rFont val="Calibri"/>
        <family val="2"/>
        <scheme val="minor"/>
      </rPr>
      <t>Krav til klimagassregnskap</t>
    </r>
  </si>
  <si>
    <r>
      <t xml:space="preserve">TEK17 §17-2
</t>
    </r>
    <r>
      <rPr>
        <b/>
        <sz val="10"/>
        <color theme="1"/>
        <rFont val="Calibri"/>
        <family val="2"/>
        <scheme val="minor"/>
      </rPr>
      <t>Krav til grenseverdi</t>
    </r>
  </si>
  <si>
    <t>For hotell er det tatt utgangspunkt i boligblokk (samme størrelse), sjekket at areal innervegg virker fornuftig, tilpasset materialtyper og justert opp etasjehøyde. Hotellbygg har  kortere levetid på materialer, fra lang levetid til middels levetid. 
Endring fra boligblokk:
• 0,2 m økt høyde mellom etasjer 
• Endret til 50% systemhimling 
• Endret type gulvoverflate: oppforet gulv og liten andel med teppe 
• Endret utvendig kledning: tegl og fibersement fasadeplate</t>
  </si>
  <si>
    <t>Idrettsbygning</t>
  </si>
  <si>
    <t xml:space="preserve">Oppbygging av idrettshall vil i stor grad være likt industribygg, med økt bruk av robust
gips på innvendige overflater og utstrakt bruk av sportsgulv.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</si>
</sst>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vertAlign val="superscript"/>
      <sz val="10"/>
      <color theme="1"/>
      <name val="Calibri"/>
      <family val="2"/>
      <scheme val="minor"/>
    </font>
    <font>
      <i/>
      <sz val="10"/>
      <color theme="1"/>
      <name val="Calibri"/>
      <family val="2"/>
      <scheme val="minor"/>
    </font>
    <font>
      <sz val="10"/>
      <color theme="1"/>
      <name val="Times New Roman"/>
      <family val="1"/>
    </font>
    <font>
      <b/>
      <sz val="11"/>
      <color theme="1"/>
      <name val="Calibri"/>
      <family val="2"/>
    </font>
    <font>
      <b/>
      <sz val="9"/>
      <color theme="1"/>
      <name val="Calibri"/>
      <family val="2"/>
    </font>
    <font>
      <sz val="9"/>
      <color theme="1"/>
      <name val="Calibri"/>
      <family val="2"/>
    </font>
    <font>
      <sz val="9"/>
      <color rgb="FF000000"/>
      <name val="Calibri"/>
      <family val="2"/>
    </font>
    <font>
      <sz val="9"/>
      <color rgb="FFFF0000"/>
      <name val="Calibri"/>
      <family val="2"/>
    </font>
    <font>
      <b/>
      <sz val="14"/>
      <color theme="1"/>
      <name val="Calibri"/>
      <family val="2"/>
      <scheme val="minor"/>
    </font>
    <font>
      <b/>
      <sz val="11"/>
      <color rgb="FFFF0000"/>
      <name val="Calibri"/>
      <family val="2"/>
      <scheme val="minor"/>
    </font>
    <font>
      <sz val="11"/>
      <name val="Calibri"/>
      <family val="2"/>
    </font>
    <font>
      <b/>
      <sz val="11"/>
      <color rgb="FF000000"/>
      <name val="Calibri"/>
      <family val="2"/>
    </font>
    <font>
      <b/>
      <vertAlign val="superscript"/>
      <sz val="11"/>
      <color rgb="FF000000"/>
      <name val="Calibri"/>
      <family val="2"/>
    </font>
    <font>
      <sz val="9"/>
      <color indexed="81"/>
      <name val="Tahoma"/>
      <family val="2"/>
    </font>
    <font>
      <b/>
      <vertAlign val="subscript"/>
      <sz val="11"/>
      <color theme="1"/>
      <name val="Calibri"/>
      <family val="2"/>
      <scheme val="minor"/>
    </font>
    <font>
      <b/>
      <sz val="16"/>
      <color theme="1"/>
      <name val="Calibri"/>
      <family val="2"/>
      <scheme val="minor"/>
    </font>
    <font>
      <sz val="11"/>
      <color theme="0"/>
      <name val="Calibri"/>
      <family val="2"/>
      <scheme val="minor"/>
    </font>
    <font>
      <b/>
      <sz val="11"/>
      <color theme="0"/>
      <name val="Calibri"/>
      <family val="2"/>
      <scheme val="minor"/>
    </font>
    <font>
      <b/>
      <i/>
      <sz val="11"/>
      <color theme="0"/>
      <name val="Calibri"/>
      <family val="2"/>
      <scheme val="minor"/>
    </font>
    <font>
      <b/>
      <sz val="18"/>
      <color theme="0"/>
      <name val="Calibri"/>
      <family val="2"/>
      <scheme val="minor"/>
    </font>
    <font>
      <sz val="11"/>
      <name val="Calibri"/>
      <family val="2"/>
      <scheme val="minor"/>
    </font>
    <font>
      <b/>
      <sz val="11"/>
      <name val="Calibri"/>
      <family val="2"/>
      <scheme val="minor"/>
    </font>
    <font>
      <sz val="11"/>
      <color rgb="FFFF0000"/>
      <name val="Calibri"/>
      <family val="2"/>
      <scheme val="minor"/>
    </font>
    <font>
      <sz val="11"/>
      <color theme="9"/>
      <name val="Calibri"/>
      <family val="2"/>
      <scheme val="minor"/>
    </font>
    <font>
      <sz val="8"/>
      <color rgb="FF000000"/>
      <name val="Calibri"/>
      <family val="2"/>
    </font>
    <font>
      <sz val="10"/>
      <name val="Arial"/>
      <family val="2"/>
    </font>
    <font>
      <b/>
      <sz val="11"/>
      <name val="Calibri"/>
      <family val="2"/>
    </font>
    <font>
      <b/>
      <sz val="13"/>
      <name val="Calibri"/>
      <family val="2"/>
      <scheme val="minor"/>
    </font>
    <font>
      <b/>
      <sz val="12"/>
      <name val="Calibri"/>
      <family val="2"/>
      <scheme val="minor"/>
    </font>
    <font>
      <b/>
      <sz val="8"/>
      <color rgb="FF000000"/>
      <name val="Calibri"/>
      <family val="2"/>
    </font>
    <font>
      <b/>
      <sz val="8"/>
      <color rgb="FF000000"/>
      <name val="Times New Roman"/>
      <family val="1"/>
    </font>
    <font>
      <sz val="8"/>
      <color rgb="FF000000"/>
      <name val="Times New Roman"/>
      <family val="1"/>
    </font>
    <font>
      <sz val="7"/>
      <color theme="1"/>
      <name val="Calibri"/>
      <family val="2"/>
      <scheme val="minor"/>
    </font>
    <font>
      <i/>
      <sz val="11"/>
      <color theme="1"/>
      <name val="Calibri"/>
      <family val="2"/>
      <scheme val="minor"/>
    </font>
    <font>
      <sz val="11"/>
      <color theme="1"/>
      <name val="Calibri"/>
      <family val="2"/>
    </font>
    <font>
      <sz val="8"/>
      <color theme="1"/>
      <name val="Calibri"/>
      <family val="2"/>
    </font>
    <font>
      <b/>
      <vertAlign val="superscript"/>
      <sz val="11"/>
      <color theme="1"/>
      <name val="Calibri"/>
      <family val="2"/>
    </font>
    <font>
      <b/>
      <sz val="13"/>
      <color rgb="FFFF0000"/>
      <name val="Calibri"/>
      <family val="2"/>
      <scheme val="minor"/>
    </font>
    <font>
      <sz val="8"/>
      <name val="Calibri"/>
      <family val="2"/>
      <scheme val="minor"/>
    </font>
    <font>
      <b/>
      <sz val="9"/>
      <color indexed="81"/>
      <name val="Tahoma"/>
      <family val="2"/>
    </font>
    <font>
      <b/>
      <vertAlign val="subscript"/>
      <sz val="12"/>
      <name val="Calibri"/>
      <family val="2"/>
      <scheme val="minor"/>
    </font>
    <font>
      <b/>
      <vertAlign val="subscript"/>
      <sz val="11"/>
      <color theme="0"/>
      <name val="Calibri"/>
      <family val="2"/>
      <scheme val="minor"/>
    </font>
    <font>
      <vertAlign val="subscript"/>
      <sz val="11"/>
      <color theme="1"/>
      <name val="Calibri"/>
      <family val="2"/>
      <scheme val="minor"/>
    </font>
    <font>
      <vertAlign val="superscript"/>
      <sz val="11"/>
      <color theme="1"/>
      <name val="Calibri"/>
      <family val="2"/>
      <scheme val="minor"/>
    </font>
    <font>
      <sz val="9"/>
      <color theme="1"/>
      <name val="Calibri"/>
      <family val="2"/>
      <scheme val="minor"/>
    </font>
    <font>
      <b/>
      <sz val="10.5"/>
      <color theme="1"/>
      <name val="Calibri"/>
      <family val="2"/>
      <scheme val="minor"/>
    </font>
    <font>
      <b/>
      <vertAlign val="superscript"/>
      <sz val="12"/>
      <name val="Calibri"/>
      <family val="2"/>
      <scheme val="minor"/>
    </font>
    <font>
      <vertAlign val="superscript"/>
      <sz val="11"/>
      <name val="Calibri"/>
      <family val="2"/>
      <scheme val="minor"/>
    </font>
    <font>
      <vertAlign val="subscript"/>
      <sz val="11"/>
      <name val="Calibri"/>
      <family val="2"/>
      <scheme val="minor"/>
    </font>
    <font>
      <sz val="10"/>
      <color rgb="FF00B050"/>
      <name val="Arial"/>
      <family val="2"/>
    </font>
    <font>
      <sz val="11"/>
      <color rgb="FF00B050"/>
      <name val="Calibri"/>
      <family val="2"/>
      <scheme val="minor"/>
    </font>
    <font>
      <b/>
      <sz val="10"/>
      <color theme="1"/>
      <name val="Calibri"/>
      <family val="2"/>
      <scheme val="minor"/>
    </font>
  </fonts>
  <fills count="2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A0CB83"/>
        <bgColor indexed="64"/>
      </patternFill>
    </fill>
    <fill>
      <patternFill patternType="solid">
        <fgColor rgb="FFB4C6E7"/>
        <bgColor indexed="64"/>
      </patternFill>
    </fill>
    <fill>
      <patternFill patternType="solid">
        <fgColor theme="4" tint="0.59999389629810485"/>
        <bgColor indexed="64"/>
      </patternFill>
    </fill>
    <fill>
      <patternFill patternType="solid">
        <fgColor rgb="FFE6EBF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7F7F7F"/>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39997558519241921"/>
        <bgColor indexed="64"/>
      </patternFill>
    </fill>
  </fills>
  <borders count="9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rgb="FF008000"/>
      </bottom>
      <diagonal/>
    </border>
    <border>
      <left/>
      <right/>
      <top/>
      <bottom style="medium">
        <color rgb="FF008000"/>
      </bottom>
      <diagonal/>
    </border>
    <border>
      <left/>
      <right style="medium">
        <color indexed="64"/>
      </right>
      <top/>
      <bottom style="medium">
        <color rgb="FF008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medium">
        <color rgb="FF000000"/>
      </right>
      <top/>
      <bottom/>
      <diagonal/>
    </border>
  </borders>
  <cellStyleXfs count="3">
    <xf numFmtId="0" fontId="0" fillId="0" borderId="0"/>
    <xf numFmtId="9" fontId="1" fillId="0" borderId="0" applyFont="0" applyFill="0" applyBorder="0" applyAlignment="0" applyProtection="0"/>
    <xf numFmtId="0" fontId="32" fillId="0" borderId="0"/>
  </cellStyleXfs>
  <cellXfs count="540">
    <xf numFmtId="0" fontId="0" fillId="0" borderId="0" xfId="0"/>
    <xf numFmtId="0" fontId="0" fillId="0" borderId="0" xfId="0" applyAlignment="1">
      <alignment vertical="top" wrapText="1"/>
    </xf>
    <xf numFmtId="0" fontId="4" fillId="0" borderId="5" xfId="0" applyFont="1" applyBorder="1" applyAlignment="1">
      <alignment horizontal="center" vertical="center" wrapText="1"/>
    </xf>
    <xf numFmtId="0" fontId="5" fillId="0" borderId="7" xfId="0" applyFont="1" applyBorder="1" applyAlignment="1">
      <alignment wrapText="1"/>
    </xf>
    <xf numFmtId="2" fontId="5" fillId="0" borderId="8" xfId="0" applyNumberFormat="1" applyFont="1" applyBorder="1" applyAlignment="1">
      <alignment wrapText="1"/>
    </xf>
    <xf numFmtId="0" fontId="5" fillId="0" borderId="8" xfId="0" applyFont="1" applyBorder="1" applyAlignment="1">
      <alignment wrapText="1"/>
    </xf>
    <xf numFmtId="0" fontId="6" fillId="0" borderId="8" xfId="0" applyFont="1" applyBorder="1" applyAlignment="1">
      <alignment wrapText="1"/>
    </xf>
    <xf numFmtId="0" fontId="4" fillId="0" borderId="9" xfId="0" applyFont="1" applyBorder="1" applyAlignment="1">
      <alignment wrapText="1"/>
    </xf>
    <xf numFmtId="0" fontId="4" fillId="0" borderId="11" xfId="0" applyFont="1" applyBorder="1" applyAlignment="1">
      <alignment horizontal="center" vertical="center" wrapText="1"/>
    </xf>
    <xf numFmtId="0" fontId="4" fillId="0" borderId="13" xfId="0" applyFont="1" applyBorder="1" applyAlignment="1">
      <alignment vertical="center" wrapText="1"/>
    </xf>
    <xf numFmtId="0" fontId="4" fillId="0" borderId="14" xfId="0" applyFont="1" applyBorder="1" applyAlignment="1">
      <alignment horizontal="center" vertical="center" wrapText="1"/>
    </xf>
    <xf numFmtId="9" fontId="4" fillId="0" borderId="15" xfId="0" applyNumberFormat="1" applyFont="1" applyBorder="1" applyAlignment="1">
      <alignment horizontal="center" vertical="center" wrapText="1"/>
    </xf>
    <xf numFmtId="1" fontId="0" fillId="0" borderId="0" xfId="0" applyNumberFormat="1"/>
    <xf numFmtId="1" fontId="5" fillId="0" borderId="8" xfId="0" applyNumberFormat="1" applyFont="1" applyBorder="1" applyAlignment="1">
      <alignment wrapText="1"/>
    </xf>
    <xf numFmtId="1" fontId="9" fillId="0" borderId="0" xfId="0" applyNumberFormat="1" applyFont="1" applyAlignment="1">
      <alignment horizontal="center" vertical="center" wrapText="1"/>
    </xf>
    <xf numFmtId="164" fontId="5" fillId="0" borderId="8" xfId="0" applyNumberFormat="1" applyFont="1" applyBorder="1" applyAlignment="1">
      <alignment wrapText="1"/>
    </xf>
    <xf numFmtId="0" fontId="6" fillId="0" borderId="9" xfId="0" applyFont="1" applyBorder="1" applyAlignment="1">
      <alignment wrapText="1"/>
    </xf>
    <xf numFmtId="0" fontId="5" fillId="0" borderId="17" xfId="0" applyFont="1" applyBorder="1" applyAlignment="1">
      <alignment wrapText="1"/>
    </xf>
    <xf numFmtId="0" fontId="5" fillId="0" borderId="9" xfId="0" applyFont="1" applyBorder="1" applyAlignment="1">
      <alignment wrapText="1"/>
    </xf>
    <xf numFmtId="0" fontId="5" fillId="0" borderId="18" xfId="0" applyFont="1" applyBorder="1" applyAlignment="1">
      <alignment wrapText="1"/>
    </xf>
    <xf numFmtId="2" fontId="5" fillId="0" borderId="19" xfId="0" applyNumberFormat="1" applyFont="1" applyBorder="1" applyAlignment="1">
      <alignment wrapText="1"/>
    </xf>
    <xf numFmtId="0" fontId="5" fillId="0" borderId="19" xfId="0" applyFont="1" applyBorder="1" applyAlignment="1">
      <alignment wrapText="1"/>
    </xf>
    <xf numFmtId="0" fontId="6" fillId="0" borderId="20" xfId="0" applyFont="1" applyBorder="1" applyAlignment="1">
      <alignment wrapText="1"/>
    </xf>
    <xf numFmtId="0" fontId="12" fillId="0" borderId="15" xfId="0" applyFont="1" applyBorder="1" applyAlignment="1">
      <alignment vertical="center" wrapText="1"/>
    </xf>
    <xf numFmtId="9" fontId="12" fillId="0" borderId="15" xfId="0" applyNumberFormat="1" applyFont="1" applyBorder="1" applyAlignment="1">
      <alignment horizontal="right" vertical="center" wrapText="1"/>
    </xf>
    <xf numFmtId="49" fontId="12" fillId="0" borderId="15" xfId="0" applyNumberFormat="1" applyFont="1" applyBorder="1" applyAlignment="1">
      <alignment horizontal="right" vertical="center" wrapText="1"/>
    </xf>
    <xf numFmtId="2" fontId="12" fillId="0" borderId="15" xfId="0" applyNumberFormat="1" applyFont="1" applyBorder="1" applyAlignment="1">
      <alignment horizontal="right" vertical="center" wrapText="1"/>
    </xf>
    <xf numFmtId="0" fontId="13" fillId="0" borderId="15" xfId="0" applyFont="1" applyBorder="1" applyAlignment="1">
      <alignment vertical="center" wrapText="1"/>
    </xf>
    <xf numFmtId="9" fontId="13" fillId="0" borderId="15" xfId="0" applyNumberFormat="1" applyFont="1" applyBorder="1" applyAlignment="1">
      <alignment horizontal="right" vertical="center" wrapText="1"/>
    </xf>
    <xf numFmtId="2" fontId="13" fillId="0" borderId="15" xfId="0" applyNumberFormat="1" applyFont="1" applyBorder="1" applyAlignment="1">
      <alignment horizontal="right" vertical="center" wrapText="1"/>
    </xf>
    <xf numFmtId="9" fontId="13" fillId="0" borderId="15" xfId="0" applyNumberFormat="1" applyFont="1" applyBorder="1" applyAlignment="1">
      <alignment vertical="center" wrapText="1"/>
    </xf>
    <xf numFmtId="0" fontId="12" fillId="0" borderId="15" xfId="0" applyFont="1" applyBorder="1" applyAlignment="1">
      <alignment vertical="center"/>
    </xf>
    <xf numFmtId="0" fontId="12" fillId="0" borderId="30" xfId="0" applyFont="1" applyBorder="1" applyAlignment="1">
      <alignment vertical="center" wrapText="1"/>
    </xf>
    <xf numFmtId="0" fontId="12" fillId="0" borderId="23" xfId="0" applyFont="1" applyBorder="1" applyAlignment="1">
      <alignment vertical="center" wrapText="1"/>
    </xf>
    <xf numFmtId="0" fontId="12" fillId="0" borderId="15" xfId="0" applyFont="1" applyBorder="1" applyAlignment="1">
      <alignment horizontal="left" vertical="center" wrapText="1"/>
    </xf>
    <xf numFmtId="0" fontId="13" fillId="0" borderId="15" xfId="0" applyFont="1" applyBorder="1" applyAlignment="1">
      <alignment horizontal="left" vertical="center" wrapText="1"/>
    </xf>
    <xf numFmtId="0" fontId="14" fillId="0" borderId="15" xfId="0" applyFont="1" applyBorder="1" applyAlignment="1">
      <alignment vertical="center" wrapText="1"/>
    </xf>
    <xf numFmtId="9" fontId="13" fillId="0" borderId="15" xfId="0" applyNumberFormat="1" applyFont="1" applyBorder="1" applyAlignment="1">
      <alignment horizontal="left" vertical="center" wrapText="1"/>
    </xf>
    <xf numFmtId="0" fontId="12" fillId="0" borderId="15" xfId="0" applyFont="1" applyBorder="1" applyAlignment="1">
      <alignment horizontal="right" vertical="center" wrapText="1"/>
    </xf>
    <xf numFmtId="0" fontId="0" fillId="0" borderId="0" xfId="0" applyAlignment="1">
      <alignment horizontal="left" vertical="center" wrapText="1"/>
    </xf>
    <xf numFmtId="0" fontId="0" fillId="0" borderId="0" xfId="0" applyAlignment="1">
      <alignment horizontal="left" vertical="top" wrapText="1"/>
    </xf>
    <xf numFmtId="0" fontId="15" fillId="0" borderId="0" xfId="0" applyFont="1"/>
    <xf numFmtId="0" fontId="2" fillId="0" borderId="0" xfId="0" applyFont="1"/>
    <xf numFmtId="0" fontId="0" fillId="0" borderId="18" xfId="0" applyBorder="1"/>
    <xf numFmtId="0" fontId="0" fillId="0" borderId="19" xfId="0" applyBorder="1"/>
    <xf numFmtId="0" fontId="0" fillId="0" borderId="20" xfId="0" applyBorder="1"/>
    <xf numFmtId="0" fontId="0" fillId="0" borderId="35" xfId="0" applyBorder="1"/>
    <xf numFmtId="0" fontId="0" fillId="0" borderId="32" xfId="0" applyBorder="1"/>
    <xf numFmtId="0" fontId="0" fillId="0" borderId="30" xfId="0" applyBorder="1"/>
    <xf numFmtId="164" fontId="0" fillId="3" borderId="32" xfId="0" applyNumberFormat="1" applyFill="1" applyBorder="1"/>
    <xf numFmtId="164" fontId="0" fillId="3" borderId="0" xfId="0" applyNumberFormat="1" applyFill="1"/>
    <xf numFmtId="164" fontId="0" fillId="3" borderId="30" xfId="0" applyNumberFormat="1" applyFill="1" applyBorder="1"/>
    <xf numFmtId="0" fontId="0" fillId="0" borderId="2" xfId="0" applyBorder="1"/>
    <xf numFmtId="0" fontId="0" fillId="0" borderId="3" xfId="0" applyBorder="1" applyAlignment="1">
      <alignment horizontal="left"/>
    </xf>
    <xf numFmtId="0" fontId="0" fillId="0" borderId="8" xfId="0" applyBorder="1"/>
    <xf numFmtId="164" fontId="0" fillId="3" borderId="33" xfId="0" applyNumberFormat="1" applyFill="1" applyBorder="1"/>
    <xf numFmtId="164" fontId="0" fillId="0" borderId="0" xfId="0" applyNumberFormat="1"/>
    <xf numFmtId="0" fontId="0" fillId="0" borderId="14" xfId="0" applyBorder="1"/>
    <xf numFmtId="0" fontId="17" fillId="4" borderId="45" xfId="0" applyFont="1" applyFill="1" applyBorder="1" applyAlignment="1">
      <alignment vertical="center"/>
    </xf>
    <xf numFmtId="3" fontId="18" fillId="0" borderId="7" xfId="0" applyNumberFormat="1" applyFont="1" applyBorder="1" applyAlignment="1" applyProtection="1">
      <alignment vertical="center"/>
      <protection locked="0"/>
    </xf>
    <xf numFmtId="0" fontId="18" fillId="4" borderId="16" xfId="0" applyFont="1" applyFill="1" applyBorder="1" applyAlignment="1">
      <alignment horizontal="center" vertical="center"/>
    </xf>
    <xf numFmtId="0" fontId="0" fillId="0" borderId="47" xfId="0" applyBorder="1" applyProtection="1">
      <protection locked="0"/>
    </xf>
    <xf numFmtId="0" fontId="0" fillId="0" borderId="49" xfId="0" applyBorder="1" applyProtection="1">
      <protection locked="0"/>
    </xf>
    <xf numFmtId="0" fontId="0" fillId="0" borderId="40" xfId="0" applyBorder="1" applyProtection="1">
      <protection locked="0"/>
    </xf>
    <xf numFmtId="0" fontId="17" fillId="4" borderId="32" xfId="0" applyFont="1" applyFill="1" applyBorder="1" applyAlignment="1">
      <alignment vertical="center"/>
    </xf>
    <xf numFmtId="0" fontId="17" fillId="4" borderId="47" xfId="0" applyFont="1" applyFill="1" applyBorder="1" applyAlignment="1">
      <alignment vertical="center"/>
    </xf>
    <xf numFmtId="0" fontId="17" fillId="4" borderId="48" xfId="0" applyFont="1" applyFill="1" applyBorder="1" applyAlignment="1">
      <alignment vertical="center"/>
    </xf>
    <xf numFmtId="0" fontId="2" fillId="4" borderId="35" xfId="0" applyFont="1" applyFill="1" applyBorder="1" applyAlignment="1">
      <alignment horizontal="center"/>
    </xf>
    <xf numFmtId="0" fontId="0" fillId="4" borderId="18" xfId="0" applyFill="1" applyBorder="1" applyAlignment="1">
      <alignment vertical="center"/>
    </xf>
    <xf numFmtId="0" fontId="0" fillId="4" borderId="19" xfId="0" applyFill="1" applyBorder="1" applyAlignment="1">
      <alignment vertical="center"/>
    </xf>
    <xf numFmtId="0" fontId="0" fillId="4" borderId="35" xfId="0" applyFill="1" applyBorder="1" applyAlignment="1">
      <alignment vertical="center"/>
    </xf>
    <xf numFmtId="0" fontId="2" fillId="3" borderId="0" xfId="0" applyFont="1" applyFill="1" applyAlignment="1">
      <alignment vertical="center"/>
    </xf>
    <xf numFmtId="0" fontId="0" fillId="3" borderId="0" xfId="0" applyFill="1"/>
    <xf numFmtId="0" fontId="2" fillId="3" borderId="42" xfId="0" applyFont="1" applyFill="1" applyBorder="1"/>
    <xf numFmtId="0" fontId="2" fillId="3" borderId="50" xfId="0" applyFont="1" applyFill="1" applyBorder="1" applyAlignment="1">
      <alignment horizontal="center"/>
    </xf>
    <xf numFmtId="0" fontId="2" fillId="3" borderId="51" xfId="0" applyFont="1" applyFill="1" applyBorder="1" applyAlignment="1">
      <alignment horizontal="center"/>
    </xf>
    <xf numFmtId="0" fontId="2" fillId="3" borderId="52" xfId="0" applyFont="1" applyFill="1" applyBorder="1" applyAlignment="1">
      <alignment horizontal="center"/>
    </xf>
    <xf numFmtId="0" fontId="2" fillId="3" borderId="42" xfId="0" applyFont="1" applyFill="1" applyBorder="1" applyAlignment="1">
      <alignment horizontal="center"/>
    </xf>
    <xf numFmtId="0" fontId="2" fillId="3" borderId="53" xfId="0" applyFont="1" applyFill="1" applyBorder="1" applyAlignment="1">
      <alignment horizontal="center"/>
    </xf>
    <xf numFmtId="0" fontId="0" fillId="3" borderId="47" xfId="0" applyFill="1" applyBorder="1"/>
    <xf numFmtId="0" fontId="0" fillId="3" borderId="59" xfId="0" applyFill="1" applyBorder="1"/>
    <xf numFmtId="0" fontId="0" fillId="3" borderId="32" xfId="0" applyFill="1" applyBorder="1"/>
    <xf numFmtId="0" fontId="0" fillId="0" borderId="60" xfId="0" applyBorder="1"/>
    <xf numFmtId="0" fontId="12" fillId="0" borderId="27" xfId="0" applyFont="1" applyBorder="1" applyAlignment="1">
      <alignment vertical="center" wrapText="1"/>
    </xf>
    <xf numFmtId="0" fontId="0" fillId="11" borderId="0" xfId="0" applyFill="1"/>
    <xf numFmtId="0" fontId="2" fillId="11" borderId="0" xfId="0" applyFont="1" applyFill="1"/>
    <xf numFmtId="0" fontId="0" fillId="3" borderId="49" xfId="0" applyFill="1" applyBorder="1"/>
    <xf numFmtId="0" fontId="0" fillId="3" borderId="46" xfId="0" applyFill="1" applyBorder="1"/>
    <xf numFmtId="0" fontId="0" fillId="0" borderId="0" xfId="0" applyAlignment="1">
      <alignment wrapText="1"/>
    </xf>
    <xf numFmtId="9" fontId="0" fillId="0" borderId="0" xfId="0" applyNumberFormat="1"/>
    <xf numFmtId="3" fontId="26" fillId="13" borderId="4" xfId="0" applyNumberFormat="1" applyFont="1" applyFill="1" applyBorder="1"/>
    <xf numFmtId="3" fontId="26" fillId="13" borderId="13" xfId="0" applyNumberFormat="1" applyFont="1" applyFill="1" applyBorder="1"/>
    <xf numFmtId="3" fontId="26" fillId="13" borderId="4" xfId="1" applyNumberFormat="1" applyFont="1" applyFill="1" applyBorder="1" applyAlignment="1"/>
    <xf numFmtId="0" fontId="0" fillId="14" borderId="0" xfId="0" applyFill="1"/>
    <xf numFmtId="0" fontId="0" fillId="15" borderId="0" xfId="0" applyFill="1"/>
    <xf numFmtId="2" fontId="0" fillId="15" borderId="0" xfId="0" applyNumberFormat="1" applyFill="1" applyAlignment="1">
      <alignment horizontal="right"/>
    </xf>
    <xf numFmtId="3" fontId="26" fillId="13" borderId="13" xfId="1" applyNumberFormat="1" applyFont="1" applyFill="1" applyBorder="1" applyAlignment="1"/>
    <xf numFmtId="0" fontId="28" fillId="11" borderId="33" xfId="0" applyFont="1" applyFill="1" applyBorder="1"/>
    <xf numFmtId="9" fontId="0" fillId="0" borderId="0" xfId="0" applyNumberFormat="1" applyAlignment="1">
      <alignment horizontal="center"/>
    </xf>
    <xf numFmtId="3" fontId="0" fillId="0" borderId="0" xfId="0" applyNumberFormat="1"/>
    <xf numFmtId="0" fontId="2" fillId="4" borderId="0" xfId="0" applyFont="1" applyFill="1" applyAlignment="1">
      <alignment vertical="center"/>
    </xf>
    <xf numFmtId="0" fontId="0" fillId="4" borderId="0" xfId="0" applyFill="1"/>
    <xf numFmtId="0" fontId="22" fillId="15" borderId="0" xfId="0" applyFont="1" applyFill="1" applyAlignment="1">
      <alignment horizontal="left" vertical="top"/>
    </xf>
    <xf numFmtId="0" fontId="27" fillId="15" borderId="0" xfId="0" applyFont="1" applyFill="1"/>
    <xf numFmtId="0" fontId="0" fillId="16" borderId="0" xfId="0" applyFill="1"/>
    <xf numFmtId="0" fontId="0" fillId="0" borderId="2" xfId="0" applyBorder="1" applyAlignment="1">
      <alignment horizontal="left"/>
    </xf>
    <xf numFmtId="9" fontId="28" fillId="0" borderId="42" xfId="0" applyNumberFormat="1" applyFont="1" applyBorder="1" applyAlignment="1" applyProtection="1">
      <alignment horizontal="right"/>
      <protection locked="0"/>
    </xf>
    <xf numFmtId="0" fontId="17" fillId="4" borderId="59" xfId="0" applyFont="1" applyFill="1" applyBorder="1" applyAlignment="1">
      <alignment vertical="center"/>
    </xf>
    <xf numFmtId="0" fontId="18" fillId="4" borderId="66" xfId="0" applyFont="1" applyFill="1" applyBorder="1" applyAlignment="1">
      <alignment horizontal="center" vertical="center"/>
    </xf>
    <xf numFmtId="2" fontId="0" fillId="0" borderId="0" xfId="0" applyNumberFormat="1"/>
    <xf numFmtId="0" fontId="0" fillId="0" borderId="0" xfId="0" applyAlignment="1">
      <alignment horizontal="left"/>
    </xf>
    <xf numFmtId="0" fontId="0" fillId="0" borderId="30" xfId="0" applyBorder="1" applyAlignment="1">
      <alignment horizontal="left"/>
    </xf>
    <xf numFmtId="2" fontId="2" fillId="0" borderId="0" xfId="0" applyNumberFormat="1" applyFont="1"/>
    <xf numFmtId="164" fontId="0" fillId="3" borderId="42" xfId="0" applyNumberFormat="1" applyFill="1" applyBorder="1"/>
    <xf numFmtId="3" fontId="18" fillId="0" borderId="1" xfId="0" applyNumberFormat="1" applyFont="1" applyBorder="1" applyAlignment="1" applyProtection="1">
      <alignment vertical="center"/>
      <protection locked="0"/>
    </xf>
    <xf numFmtId="0" fontId="17" fillId="4" borderId="7" xfId="0" applyFont="1" applyFill="1" applyBorder="1" applyAlignment="1">
      <alignment vertical="center"/>
    </xf>
    <xf numFmtId="0" fontId="17" fillId="4" borderId="18" xfId="0" applyFont="1" applyFill="1" applyBorder="1"/>
    <xf numFmtId="0" fontId="33" fillId="4" borderId="59" xfId="0" applyFont="1" applyFill="1" applyBorder="1" applyProtection="1">
      <protection locked="0" hidden="1"/>
    </xf>
    <xf numFmtId="0" fontId="33" fillId="4" borderId="64" xfId="0" applyFont="1" applyFill="1" applyBorder="1" applyProtection="1">
      <protection locked="0" hidden="1"/>
    </xf>
    <xf numFmtId="0" fontId="18" fillId="4" borderId="9" xfId="0" applyFont="1" applyFill="1" applyBorder="1" applyAlignment="1">
      <alignment horizontal="center" vertical="center"/>
    </xf>
    <xf numFmtId="0" fontId="10" fillId="4" borderId="20" xfId="0" applyFont="1" applyFill="1" applyBorder="1" applyAlignment="1">
      <alignment horizontal="center" vertical="center"/>
    </xf>
    <xf numFmtId="0" fontId="0" fillId="0" borderId="37" xfId="0" applyBorder="1" applyProtection="1">
      <protection locked="0"/>
    </xf>
    <xf numFmtId="0" fontId="0" fillId="0" borderId="39" xfId="0" applyBorder="1" applyProtection="1">
      <protection locked="0"/>
    </xf>
    <xf numFmtId="0" fontId="33" fillId="4" borderId="65" xfId="0" applyFont="1" applyFill="1" applyBorder="1" applyProtection="1">
      <protection locked="0" hidden="1"/>
    </xf>
    <xf numFmtId="3" fontId="18" fillId="15" borderId="8" xfId="0" applyNumberFormat="1" applyFont="1" applyFill="1" applyBorder="1" applyAlignment="1" applyProtection="1">
      <alignment vertical="center"/>
      <protection locked="0"/>
    </xf>
    <xf numFmtId="4" fontId="18" fillId="15" borderId="19" xfId="0" applyNumberFormat="1" applyFont="1" applyFill="1" applyBorder="1" applyAlignment="1" applyProtection="1">
      <alignment vertical="center"/>
      <protection locked="0"/>
    </xf>
    <xf numFmtId="9" fontId="0" fillId="0" borderId="0" xfId="1" applyFont="1"/>
    <xf numFmtId="0" fontId="17" fillId="17" borderId="48" xfId="0" applyFont="1" applyFill="1" applyBorder="1" applyProtection="1">
      <protection locked="0" hidden="1"/>
    </xf>
    <xf numFmtId="0" fontId="27" fillId="11" borderId="7" xfId="0" applyFont="1" applyFill="1" applyBorder="1"/>
    <xf numFmtId="0" fontId="27" fillId="11" borderId="18" xfId="0" applyFont="1" applyFill="1" applyBorder="1"/>
    <xf numFmtId="0" fontId="28" fillId="14" borderId="42" xfId="0" applyFont="1" applyFill="1" applyBorder="1"/>
    <xf numFmtId="9" fontId="28" fillId="14" borderId="42" xfId="0" applyNumberFormat="1" applyFont="1" applyFill="1" applyBorder="1" applyAlignment="1">
      <alignment horizontal="right"/>
    </xf>
    <xf numFmtId="0" fontId="0" fillId="0" borderId="69" xfId="0" applyBorder="1" applyAlignment="1">
      <alignment horizontal="left" vertical="top"/>
    </xf>
    <xf numFmtId="1" fontId="0" fillId="0" borderId="8" xfId="0" applyNumberFormat="1" applyBorder="1" applyAlignment="1">
      <alignment horizontal="left"/>
    </xf>
    <xf numFmtId="0" fontId="2" fillId="20" borderId="8" xfId="0" applyFont="1" applyFill="1" applyBorder="1" applyAlignment="1">
      <alignment vertical="top" wrapText="1"/>
    </xf>
    <xf numFmtId="0" fontId="31" fillId="0" borderId="69" xfId="0" applyFont="1" applyBorder="1" applyAlignment="1">
      <alignment horizontal="left" vertical="top"/>
    </xf>
    <xf numFmtId="0" fontId="31" fillId="21" borderId="69" xfId="0" applyFont="1" applyFill="1" applyBorder="1" applyAlignment="1">
      <alignment horizontal="left" vertical="top"/>
    </xf>
    <xf numFmtId="0" fontId="31" fillId="0" borderId="69" xfId="0" applyFont="1" applyBorder="1" applyAlignment="1">
      <alignment horizontal="left" vertical="top" wrapText="1"/>
    </xf>
    <xf numFmtId="0" fontId="31" fillId="0" borderId="75" xfId="0" applyFont="1" applyBorder="1" applyAlignment="1">
      <alignment horizontal="left" vertical="top"/>
    </xf>
    <xf numFmtId="0" fontId="0" fillId="3" borderId="29" xfId="0" applyFill="1" applyBorder="1"/>
    <xf numFmtId="0" fontId="0" fillId="3" borderId="45" xfId="0" applyFill="1" applyBorder="1"/>
    <xf numFmtId="0" fontId="0" fillId="3" borderId="40" xfId="0" applyFill="1" applyBorder="1"/>
    <xf numFmtId="0" fontId="0" fillId="3" borderId="27" xfId="0" applyFill="1" applyBorder="1"/>
    <xf numFmtId="0" fontId="0" fillId="3" borderId="43" xfId="0" applyFill="1" applyBorder="1"/>
    <xf numFmtId="9" fontId="29" fillId="0" borderId="0" xfId="0" applyNumberFormat="1" applyFont="1"/>
    <xf numFmtId="0" fontId="2" fillId="15" borderId="0" xfId="0" applyFont="1" applyFill="1"/>
    <xf numFmtId="0" fontId="11" fillId="0" borderId="30" xfId="0" applyFont="1" applyBorder="1" applyAlignment="1">
      <alignment vertical="center" wrapText="1"/>
    </xf>
    <xf numFmtId="0" fontId="0" fillId="0" borderId="30" xfId="0" applyBorder="1" applyAlignment="1">
      <alignment vertical="center" wrapText="1"/>
    </xf>
    <xf numFmtId="0" fontId="0" fillId="0" borderId="15" xfId="0" applyBorder="1" applyAlignment="1">
      <alignment vertical="center" wrapText="1"/>
    </xf>
    <xf numFmtId="9" fontId="12" fillId="0" borderId="15" xfId="0" applyNumberFormat="1" applyFont="1" applyBorder="1" applyAlignment="1">
      <alignment vertical="center" wrapText="1"/>
    </xf>
    <xf numFmtId="0" fontId="13" fillId="0" borderId="30" xfId="0" applyFont="1" applyBorder="1" applyAlignment="1">
      <alignment vertical="center" wrapText="1"/>
    </xf>
    <xf numFmtId="0" fontId="42" fillId="0" borderId="15" xfId="0" applyFont="1" applyBorder="1" applyAlignment="1">
      <alignment vertical="center"/>
    </xf>
    <xf numFmtId="0" fontId="29" fillId="15" borderId="0" xfId="0" applyFont="1" applyFill="1"/>
    <xf numFmtId="9" fontId="0" fillId="16" borderId="0" xfId="0" applyNumberFormat="1" applyFill="1"/>
    <xf numFmtId="0" fontId="0" fillId="15" borderId="0" xfId="0" applyFill="1" applyAlignment="1">
      <alignment wrapText="1"/>
    </xf>
    <xf numFmtId="3" fontId="23" fillId="15" borderId="0" xfId="0" applyNumberFormat="1" applyFont="1" applyFill="1"/>
    <xf numFmtId="1" fontId="23" fillId="15" borderId="0" xfId="0" applyNumberFormat="1" applyFont="1" applyFill="1"/>
    <xf numFmtId="0" fontId="23" fillId="15" borderId="0" xfId="0" applyFont="1" applyFill="1"/>
    <xf numFmtId="0" fontId="27" fillId="15" borderId="1" xfId="0" applyFont="1" applyFill="1" applyBorder="1"/>
    <xf numFmtId="9" fontId="27" fillId="15" borderId="2" xfId="0" applyNumberFormat="1" applyFont="1" applyFill="1" applyBorder="1"/>
    <xf numFmtId="9" fontId="27" fillId="15" borderId="3" xfId="0" applyNumberFormat="1" applyFont="1" applyFill="1" applyBorder="1"/>
    <xf numFmtId="0" fontId="0" fillId="15" borderId="7" xfId="0" applyFill="1" applyBorder="1"/>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0" fillId="15" borderId="18" xfId="0" applyFill="1" applyBorder="1" applyAlignment="1">
      <alignment wrapText="1"/>
    </xf>
    <xf numFmtId="0" fontId="27" fillId="15" borderId="19" xfId="0" applyFont="1" applyFill="1" applyBorder="1" applyAlignment="1">
      <alignment horizontal="center" vertical="center"/>
    </xf>
    <xf numFmtId="2" fontId="27" fillId="15" borderId="19" xfId="0" applyNumberFormat="1" applyFont="1" applyFill="1" applyBorder="1" applyAlignment="1">
      <alignment horizontal="center" vertical="center"/>
    </xf>
    <xf numFmtId="2" fontId="27" fillId="15" borderId="20" xfId="0" applyNumberFormat="1" applyFont="1" applyFill="1" applyBorder="1" applyAlignment="1">
      <alignment horizontal="center" vertical="center"/>
    </xf>
    <xf numFmtId="0" fontId="2" fillId="15" borderId="33" xfId="0" applyFont="1" applyFill="1" applyBorder="1"/>
    <xf numFmtId="0" fontId="2" fillId="15" borderId="42" xfId="0" applyFont="1" applyFill="1" applyBorder="1"/>
    <xf numFmtId="9" fontId="2" fillId="15" borderId="34" xfId="0" applyNumberFormat="1" applyFont="1" applyFill="1" applyBorder="1" applyAlignment="1">
      <alignment horizontal="center" vertical="center"/>
    </xf>
    <xf numFmtId="9" fontId="2" fillId="15" borderId="42" xfId="0" applyNumberFormat="1" applyFont="1" applyFill="1" applyBorder="1" applyAlignment="1">
      <alignment horizontal="center" vertical="center"/>
    </xf>
    <xf numFmtId="0" fontId="0" fillId="15" borderId="59" xfId="0" applyFill="1" applyBorder="1" applyAlignment="1">
      <alignment wrapText="1"/>
    </xf>
    <xf numFmtId="0" fontId="0" fillId="15" borderId="40" xfId="0" applyFill="1" applyBorder="1" applyAlignment="1">
      <alignment horizontal="center" wrapText="1"/>
    </xf>
    <xf numFmtId="0" fontId="2" fillId="15" borderId="64" xfId="0" applyFont="1" applyFill="1" applyBorder="1" applyAlignment="1">
      <alignment horizontal="center" vertical="center" wrapText="1"/>
    </xf>
    <xf numFmtId="0" fontId="2" fillId="15" borderId="40" xfId="0" applyFont="1" applyFill="1" applyBorder="1" applyAlignment="1">
      <alignment horizontal="center" vertical="center" wrapText="1"/>
    </xf>
    <xf numFmtId="0" fontId="0" fillId="15" borderId="45" xfId="0" applyFill="1" applyBorder="1" applyAlignment="1">
      <alignment wrapText="1"/>
    </xf>
    <xf numFmtId="0" fontId="0" fillId="15" borderId="47" xfId="0" applyFill="1" applyBorder="1" applyAlignment="1">
      <alignment horizontal="center" wrapText="1"/>
    </xf>
    <xf numFmtId="0" fontId="2" fillId="15" borderId="36" xfId="0" applyFont="1" applyFill="1" applyBorder="1" applyAlignment="1">
      <alignment horizontal="center" vertical="center" wrapText="1"/>
    </xf>
    <xf numFmtId="0" fontId="2" fillId="15" borderId="47" xfId="0" applyFont="1" applyFill="1" applyBorder="1" applyAlignment="1">
      <alignment horizontal="center" vertical="center" wrapText="1"/>
    </xf>
    <xf numFmtId="0" fontId="0" fillId="15" borderId="13" xfId="0" applyFill="1" applyBorder="1" applyAlignment="1">
      <alignment wrapText="1"/>
    </xf>
    <xf numFmtId="0" fontId="0" fillId="15" borderId="27" xfId="0" applyFill="1" applyBorder="1" applyAlignment="1">
      <alignment horizontal="center" wrapText="1"/>
    </xf>
    <xf numFmtId="0" fontId="2" fillId="15" borderId="14" xfId="0" applyFont="1" applyFill="1" applyBorder="1" applyAlignment="1">
      <alignment horizontal="center" vertical="center" wrapText="1"/>
    </xf>
    <xf numFmtId="0" fontId="2" fillId="15" borderId="27" xfId="0" applyFont="1" applyFill="1" applyBorder="1" applyAlignment="1">
      <alignment horizontal="center" vertical="center" wrapText="1"/>
    </xf>
    <xf numFmtId="164" fontId="0" fillId="15" borderId="0" xfId="0" applyNumberFormat="1" applyFill="1" applyAlignment="1">
      <alignment horizontal="center"/>
    </xf>
    <xf numFmtId="9" fontId="28" fillId="15" borderId="0" xfId="0" applyNumberFormat="1" applyFont="1" applyFill="1" applyAlignment="1" applyProtection="1">
      <alignment horizontal="right"/>
      <protection locked="0"/>
    </xf>
    <xf numFmtId="0" fontId="0" fillId="15" borderId="0" xfId="0" applyFill="1" applyProtection="1">
      <protection locked="0" hidden="1"/>
    </xf>
    <xf numFmtId="0" fontId="17" fillId="15" borderId="0" xfId="0" applyFont="1" applyFill="1" applyProtection="1">
      <protection locked="0" hidden="1"/>
    </xf>
    <xf numFmtId="4" fontId="18" fillId="15" borderId="0" xfId="0" applyNumberFormat="1" applyFont="1" applyFill="1" applyAlignment="1" applyProtection="1">
      <alignment vertical="center"/>
      <protection locked="0" hidden="1"/>
    </xf>
    <xf numFmtId="0" fontId="10" fillId="15" borderId="0" xfId="0" applyFont="1" applyFill="1" applyAlignment="1" applyProtection="1">
      <alignment horizontal="center" vertical="center"/>
      <protection locked="0" hidden="1"/>
    </xf>
    <xf numFmtId="0" fontId="0" fillId="15" borderId="0" xfId="0" applyFill="1" applyAlignment="1" applyProtection="1">
      <alignment vertical="center"/>
      <protection locked="0" hidden="1"/>
    </xf>
    <xf numFmtId="0" fontId="30" fillId="15" borderId="0" xfId="0" applyFont="1" applyFill="1"/>
    <xf numFmtId="0" fontId="31" fillId="0" borderId="69" xfId="0" applyFont="1" applyBorder="1" applyAlignment="1">
      <alignment horizontal="center" vertical="top" wrapText="1"/>
    </xf>
    <xf numFmtId="0" fontId="0" fillId="0" borderId="69" xfId="0" applyBorder="1" applyAlignment="1">
      <alignment horizontal="center" vertical="top"/>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8" fillId="0" borderId="9" xfId="0" applyFont="1" applyBorder="1" applyAlignment="1">
      <alignment wrapText="1"/>
    </xf>
    <xf numFmtId="0" fontId="0" fillId="0" borderId="65" xfId="0" applyBorder="1" applyProtection="1">
      <protection locked="0"/>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24" xfId="0" applyFont="1" applyFill="1" applyBorder="1" applyAlignment="1">
      <alignment horizontal="left" vertical="center"/>
    </xf>
    <xf numFmtId="0" fontId="0" fillId="17" borderId="19" xfId="0" applyFill="1" applyBorder="1" applyAlignment="1" applyProtection="1">
      <alignment vertical="center"/>
      <protection locked="0" hidden="1"/>
    </xf>
    <xf numFmtId="0" fontId="17" fillId="17" borderId="45" xfId="0" applyFont="1" applyFill="1" applyBorder="1" applyProtection="1">
      <protection locked="0" hidden="1"/>
    </xf>
    <xf numFmtId="0" fontId="0" fillId="17" borderId="18" xfId="0" applyFill="1" applyBorder="1" applyAlignment="1" applyProtection="1">
      <alignment vertical="center"/>
      <protection locked="0" hidden="1"/>
    </xf>
    <xf numFmtId="0" fontId="0" fillId="17" borderId="20" xfId="0" applyFill="1" applyBorder="1" applyAlignment="1" applyProtection="1">
      <alignment vertical="center"/>
      <protection locked="0" hidden="1"/>
    </xf>
    <xf numFmtId="0" fontId="0" fillId="21" borderId="69" xfId="0" applyFill="1" applyBorder="1" applyAlignment="1">
      <alignment horizontal="center" vertical="top"/>
    </xf>
    <xf numFmtId="0" fontId="31" fillId="11" borderId="69" xfId="0" applyFont="1" applyFill="1" applyBorder="1" applyAlignment="1">
      <alignment horizontal="center" vertical="top" wrapText="1"/>
    </xf>
    <xf numFmtId="0" fontId="29" fillId="0" borderId="0" xfId="0" applyFont="1"/>
    <xf numFmtId="0" fontId="0" fillId="0" borderId="8" xfId="0" applyBorder="1" applyAlignment="1">
      <alignment vertical="top" wrapText="1"/>
    </xf>
    <xf numFmtId="0" fontId="27" fillId="0" borderId="8" xfId="0" applyFont="1" applyBorder="1" applyAlignment="1">
      <alignment vertical="top"/>
    </xf>
    <xf numFmtId="0" fontId="0" fillId="0" borderId="8" xfId="0" applyBorder="1" applyAlignment="1">
      <alignment vertical="top"/>
    </xf>
    <xf numFmtId="0" fontId="27" fillId="0" borderId="8" xfId="0" applyFont="1" applyBorder="1" applyAlignment="1">
      <alignment vertical="top" wrapText="1"/>
    </xf>
    <xf numFmtId="14" fontId="0" fillId="0" borderId="8" xfId="0" applyNumberFormat="1" applyBorder="1" applyAlignment="1">
      <alignment vertical="top"/>
    </xf>
    <xf numFmtId="3" fontId="18" fillId="17" borderId="7" xfId="0" applyNumberFormat="1" applyFont="1" applyFill="1" applyBorder="1" applyAlignment="1" applyProtection="1">
      <alignment vertical="center"/>
      <protection locked="0"/>
    </xf>
    <xf numFmtId="3" fontId="18" fillId="17" borderId="18" xfId="0" applyNumberFormat="1" applyFont="1" applyFill="1" applyBorder="1" applyAlignment="1" applyProtection="1">
      <alignment vertical="center"/>
      <protection locked="0"/>
    </xf>
    <xf numFmtId="0" fontId="0" fillId="18" borderId="37" xfId="0" applyFill="1" applyBorder="1" applyProtection="1">
      <protection locked="0"/>
    </xf>
    <xf numFmtId="0" fontId="0" fillId="18" borderId="39" xfId="0" applyFill="1" applyBorder="1" applyProtection="1">
      <protection locked="0"/>
    </xf>
    <xf numFmtId="0" fontId="16" fillId="15" borderId="42" xfId="0" applyFont="1" applyFill="1" applyBorder="1" applyProtection="1">
      <protection locked="0"/>
    </xf>
    <xf numFmtId="2" fontId="0" fillId="0" borderId="0" xfId="0" applyNumberFormat="1" applyAlignment="1">
      <alignment horizontal="right"/>
    </xf>
    <xf numFmtId="0" fontId="2" fillId="24" borderId="33" xfId="0" applyFont="1" applyFill="1" applyBorder="1"/>
    <xf numFmtId="0" fontId="2" fillId="24" borderId="34" xfId="0" applyFont="1" applyFill="1" applyBorder="1"/>
    <xf numFmtId="0" fontId="2" fillId="24" borderId="23" xfId="0" applyFont="1" applyFill="1" applyBorder="1"/>
    <xf numFmtId="0" fontId="2" fillId="9" borderId="4" xfId="0" applyFont="1" applyFill="1" applyBorder="1"/>
    <xf numFmtId="0" fontId="2" fillId="9" borderId="5" xfId="0" applyFont="1" applyFill="1" applyBorder="1"/>
    <xf numFmtId="0" fontId="2" fillId="9" borderId="6" xfId="0" applyFont="1" applyFill="1" applyBorder="1"/>
    <xf numFmtId="2" fontId="0" fillId="0" borderId="0" xfId="0" applyNumberFormat="1" applyAlignment="1">
      <alignment horizontal="right" vertical="center"/>
    </xf>
    <xf numFmtId="0" fontId="32" fillId="0" borderId="0" xfId="2"/>
    <xf numFmtId="3" fontId="32" fillId="0" borderId="0" xfId="2" applyNumberFormat="1"/>
    <xf numFmtId="0" fontId="39" fillId="15" borderId="74" xfId="0" applyFont="1" applyFill="1" applyBorder="1" applyAlignment="1">
      <alignment horizontal="left"/>
    </xf>
    <xf numFmtId="0" fontId="51" fillId="15" borderId="0" xfId="0" applyFont="1" applyFill="1"/>
    <xf numFmtId="0" fontId="39" fillId="15" borderId="0" xfId="0" applyFont="1" applyFill="1" applyAlignment="1">
      <alignment horizontal="left"/>
    </xf>
    <xf numFmtId="0" fontId="27" fillId="11" borderId="1" xfId="0" applyFont="1" applyFill="1" applyBorder="1" applyAlignment="1">
      <alignment horizontal="left" vertical="center" wrapText="1"/>
    </xf>
    <xf numFmtId="0" fontId="2" fillId="3" borderId="52" xfId="0" applyFont="1" applyFill="1" applyBorder="1" applyAlignment="1">
      <alignment horizontal="center" wrapText="1"/>
    </xf>
    <xf numFmtId="0" fontId="0" fillId="0" borderId="35" xfId="0" applyBorder="1" applyAlignment="1">
      <alignment wrapText="1"/>
    </xf>
    <xf numFmtId="0" fontId="52" fillId="3" borderId="52" xfId="0" applyFont="1" applyFill="1" applyBorder="1" applyAlignment="1">
      <alignment horizontal="center" wrapText="1"/>
    </xf>
    <xf numFmtId="0" fontId="27" fillId="11" borderId="44" xfId="0" applyFont="1" applyFill="1" applyBorder="1" applyAlignment="1">
      <alignment horizontal="left" vertical="center" wrapText="1"/>
    </xf>
    <xf numFmtId="9" fontId="23" fillId="15" borderId="0" xfId="0" applyNumberFormat="1" applyFont="1" applyFill="1"/>
    <xf numFmtId="3" fontId="0" fillId="10" borderId="79" xfId="0" applyNumberFormat="1" applyFill="1" applyBorder="1" applyAlignment="1" applyProtection="1">
      <alignment horizontal="right"/>
      <protection hidden="1"/>
    </xf>
    <xf numFmtId="3" fontId="0" fillId="10" borderId="51" xfId="0" applyNumberFormat="1" applyFill="1" applyBorder="1" applyAlignment="1" applyProtection="1">
      <alignment horizontal="right"/>
      <protection hidden="1"/>
    </xf>
    <xf numFmtId="3" fontId="0" fillId="10" borderId="52" xfId="0" applyNumberFormat="1" applyFill="1" applyBorder="1" applyAlignment="1" applyProtection="1">
      <alignment horizontal="right"/>
      <protection hidden="1"/>
    </xf>
    <xf numFmtId="3" fontId="0" fillId="10" borderId="40" xfId="0" applyNumberFormat="1" applyFill="1" applyBorder="1" applyProtection="1">
      <protection hidden="1"/>
    </xf>
    <xf numFmtId="3" fontId="0" fillId="10" borderId="80" xfId="0" applyNumberFormat="1" applyFill="1" applyBorder="1" applyAlignment="1" applyProtection="1">
      <alignment horizontal="right"/>
      <protection hidden="1"/>
    </xf>
    <xf numFmtId="3" fontId="0" fillId="10" borderId="55" xfId="0" applyNumberFormat="1" applyFill="1" applyBorder="1" applyAlignment="1" applyProtection="1">
      <alignment horizontal="right"/>
      <protection hidden="1"/>
    </xf>
    <xf numFmtId="3" fontId="0" fillId="10" borderId="56" xfId="0" applyNumberFormat="1" applyFill="1" applyBorder="1" applyAlignment="1" applyProtection="1">
      <alignment horizontal="right"/>
      <protection hidden="1"/>
    </xf>
    <xf numFmtId="3" fontId="0" fillId="10" borderId="47" xfId="0" applyNumberFormat="1" applyFill="1" applyBorder="1" applyProtection="1">
      <protection hidden="1"/>
    </xf>
    <xf numFmtId="3" fontId="0" fillId="10" borderId="17" xfId="0" applyNumberFormat="1" applyFill="1" applyBorder="1" applyAlignment="1" applyProtection="1">
      <alignment horizontal="right"/>
      <protection hidden="1"/>
    </xf>
    <xf numFmtId="3" fontId="0" fillId="10" borderId="8" xfId="0" applyNumberFormat="1" applyFill="1" applyBorder="1" applyAlignment="1" applyProtection="1">
      <alignment horizontal="right"/>
      <protection hidden="1"/>
    </xf>
    <xf numFmtId="3" fontId="0" fillId="10" borderId="16" xfId="0" applyNumberFormat="1" applyFill="1" applyBorder="1" applyAlignment="1" applyProtection="1">
      <alignment horizontal="right"/>
      <protection hidden="1"/>
    </xf>
    <xf numFmtId="3" fontId="0" fillId="3" borderId="81" xfId="0" applyNumberFormat="1" applyFill="1" applyBorder="1" applyAlignment="1" applyProtection="1">
      <alignment horizontal="right"/>
      <protection hidden="1"/>
    </xf>
    <xf numFmtId="3" fontId="0" fillId="3" borderId="62" xfId="0" applyNumberFormat="1" applyFill="1" applyBorder="1" applyAlignment="1" applyProtection="1">
      <alignment horizontal="right"/>
      <protection hidden="1"/>
    </xf>
    <xf numFmtId="3" fontId="0" fillId="3" borderId="63" xfId="0" applyNumberFormat="1" applyFill="1" applyBorder="1" applyAlignment="1" applyProtection="1">
      <alignment horizontal="right"/>
      <protection hidden="1"/>
    </xf>
    <xf numFmtId="3" fontId="2" fillId="3" borderId="42" xfId="0" applyNumberFormat="1" applyFont="1" applyFill="1" applyBorder="1" applyAlignment="1" applyProtection="1">
      <alignment horizontal="right"/>
      <protection hidden="1"/>
    </xf>
    <xf numFmtId="1" fontId="0" fillId="10" borderId="1" xfId="0" applyNumberFormat="1" applyFill="1" applyBorder="1" applyAlignment="1" applyProtection="1">
      <alignment horizontal="right"/>
      <protection hidden="1"/>
    </xf>
    <xf numFmtId="1" fontId="2" fillId="10" borderId="40" xfId="0" applyNumberFormat="1" applyFont="1" applyFill="1" applyBorder="1" applyAlignment="1" applyProtection="1">
      <alignment horizontal="right"/>
      <protection hidden="1"/>
    </xf>
    <xf numFmtId="2" fontId="0" fillId="10" borderId="84" xfId="0" applyNumberFormat="1" applyFill="1" applyBorder="1" applyAlignment="1" applyProtection="1">
      <alignment horizontal="right"/>
      <protection hidden="1"/>
    </xf>
    <xf numFmtId="2" fontId="2" fillId="10" borderId="29" xfId="0" applyNumberFormat="1" applyFont="1" applyFill="1" applyBorder="1" applyAlignment="1" applyProtection="1">
      <alignment horizontal="right"/>
      <protection hidden="1"/>
    </xf>
    <xf numFmtId="2" fontId="0" fillId="10" borderId="7" xfId="0" applyNumberFormat="1" applyFill="1" applyBorder="1" applyAlignment="1" applyProtection="1">
      <alignment horizontal="right"/>
      <protection hidden="1"/>
    </xf>
    <xf numFmtId="2" fontId="2" fillId="10" borderId="61" xfId="0" applyNumberFormat="1" applyFont="1" applyFill="1" applyBorder="1" applyAlignment="1" applyProtection="1">
      <alignment horizontal="right"/>
      <protection hidden="1"/>
    </xf>
    <xf numFmtId="2" fontId="0" fillId="10" borderId="54" xfId="0" applyNumberFormat="1" applyFill="1" applyBorder="1" applyAlignment="1" applyProtection="1">
      <alignment horizontal="right"/>
      <protection hidden="1"/>
    </xf>
    <xf numFmtId="2" fontId="0" fillId="22" borderId="18" xfId="0" applyNumberFormat="1" applyFill="1" applyBorder="1" applyAlignment="1" applyProtection="1">
      <alignment horizontal="right"/>
      <protection hidden="1"/>
    </xf>
    <xf numFmtId="2" fontId="2" fillId="22" borderId="49" xfId="0" applyNumberFormat="1" applyFont="1" applyFill="1" applyBorder="1" applyAlignment="1" applyProtection="1">
      <alignment horizontal="right"/>
      <protection hidden="1"/>
    </xf>
    <xf numFmtId="3" fontId="28" fillId="11" borderId="2" xfId="0" applyNumberFormat="1" applyFont="1" applyFill="1" applyBorder="1" applyAlignment="1" applyProtection="1">
      <alignment vertical="center"/>
      <protection hidden="1"/>
    </xf>
    <xf numFmtId="3" fontId="28" fillId="11" borderId="3" xfId="0" applyNumberFormat="1" applyFont="1" applyFill="1" applyBorder="1" applyAlignment="1" applyProtection="1">
      <alignment horizontal="right" vertical="center"/>
      <protection hidden="1"/>
    </xf>
    <xf numFmtId="4" fontId="28" fillId="11" borderId="60" xfId="0" applyNumberFormat="1" applyFont="1" applyFill="1" applyBorder="1" applyProtection="1">
      <protection hidden="1"/>
    </xf>
    <xf numFmtId="2" fontId="28" fillId="11" borderId="85" xfId="0" applyNumberFormat="1" applyFont="1" applyFill="1" applyBorder="1" applyAlignment="1" applyProtection="1">
      <alignment horizontal="right"/>
      <protection hidden="1"/>
    </xf>
    <xf numFmtId="4" fontId="28" fillId="11" borderId="8" xfId="0" applyNumberFormat="1" applyFont="1" applyFill="1" applyBorder="1" applyProtection="1">
      <protection hidden="1"/>
    </xf>
    <xf numFmtId="2" fontId="28" fillId="11" borderId="9" xfId="0" applyNumberFormat="1" applyFont="1" applyFill="1" applyBorder="1" applyAlignment="1" applyProtection="1">
      <alignment horizontal="right"/>
      <protection hidden="1"/>
    </xf>
    <xf numFmtId="4" fontId="28" fillId="11" borderId="19" xfId="0" applyNumberFormat="1" applyFont="1" applyFill="1" applyBorder="1" applyProtection="1">
      <protection hidden="1"/>
    </xf>
    <xf numFmtId="2" fontId="28" fillId="11" borderId="20" xfId="0" applyNumberFormat="1" applyFont="1" applyFill="1" applyBorder="1" applyAlignment="1" applyProtection="1">
      <alignment horizontal="right"/>
      <protection hidden="1"/>
    </xf>
    <xf numFmtId="3" fontId="0" fillId="10" borderId="50" xfId="0" applyNumberFormat="1" applyFill="1" applyBorder="1" applyAlignment="1" applyProtection="1">
      <alignment horizontal="right"/>
      <protection hidden="1"/>
    </xf>
    <xf numFmtId="3" fontId="0" fillId="10" borderId="53" xfId="0" applyNumberFormat="1" applyFill="1" applyBorder="1" applyAlignment="1" applyProtection="1">
      <alignment horizontal="right"/>
      <protection hidden="1"/>
    </xf>
    <xf numFmtId="3" fontId="0" fillId="10" borderId="83" xfId="0" applyNumberFormat="1" applyFill="1" applyBorder="1" applyProtection="1">
      <protection hidden="1"/>
    </xf>
    <xf numFmtId="3" fontId="0" fillId="10" borderId="54" xfId="0" applyNumberFormat="1" applyFill="1" applyBorder="1" applyAlignment="1" applyProtection="1">
      <alignment horizontal="right"/>
      <protection hidden="1"/>
    </xf>
    <xf numFmtId="3" fontId="0" fillId="10" borderId="57" xfId="0" applyNumberFormat="1" applyFill="1" applyBorder="1" applyAlignment="1" applyProtection="1">
      <alignment horizontal="right"/>
      <protection hidden="1"/>
    </xf>
    <xf numFmtId="3" fontId="0" fillId="10" borderId="37" xfId="0" applyNumberFormat="1" applyFill="1" applyBorder="1" applyProtection="1">
      <protection hidden="1"/>
    </xf>
    <xf numFmtId="3" fontId="0" fillId="10" borderId="7" xfId="0" applyNumberFormat="1" applyFill="1" applyBorder="1" applyAlignment="1" applyProtection="1">
      <alignment horizontal="right"/>
      <protection hidden="1"/>
    </xf>
    <xf numFmtId="3" fontId="0" fillId="10" borderId="9" xfId="0" applyNumberFormat="1" applyFill="1" applyBorder="1" applyAlignment="1" applyProtection="1">
      <alignment horizontal="right"/>
      <protection hidden="1"/>
    </xf>
    <xf numFmtId="3" fontId="0" fillId="10" borderId="18" xfId="0" applyNumberFormat="1" applyFill="1" applyBorder="1" applyAlignment="1" applyProtection="1">
      <alignment horizontal="right"/>
      <protection hidden="1"/>
    </xf>
    <xf numFmtId="3" fontId="0" fillId="10" borderId="19" xfId="0" applyNumberFormat="1" applyFill="1" applyBorder="1" applyAlignment="1" applyProtection="1">
      <alignment horizontal="right"/>
      <protection hidden="1"/>
    </xf>
    <xf numFmtId="3" fontId="0" fillId="10" borderId="35" xfId="0" applyNumberFormat="1" applyFill="1" applyBorder="1" applyAlignment="1" applyProtection="1">
      <alignment horizontal="right"/>
      <protection hidden="1"/>
    </xf>
    <xf numFmtId="3" fontId="0" fillId="10" borderId="20" xfId="0" applyNumberFormat="1" applyFill="1" applyBorder="1" applyAlignment="1" applyProtection="1">
      <alignment horizontal="right"/>
      <protection hidden="1"/>
    </xf>
    <xf numFmtId="3" fontId="0" fillId="10" borderId="30" xfId="0" applyNumberFormat="1" applyFill="1" applyBorder="1" applyProtection="1">
      <protection hidden="1"/>
    </xf>
    <xf numFmtId="3" fontId="2" fillId="10" borderId="82" xfId="0" applyNumberFormat="1" applyFont="1" applyFill="1" applyBorder="1" applyAlignment="1" applyProtection="1">
      <alignment horizontal="right"/>
      <protection hidden="1"/>
    </xf>
    <xf numFmtId="3" fontId="2" fillId="10" borderId="44" xfId="0" applyNumberFormat="1" applyFont="1" applyFill="1" applyBorder="1" applyAlignment="1" applyProtection="1">
      <alignment horizontal="right"/>
      <protection hidden="1"/>
    </xf>
    <xf numFmtId="3" fontId="2" fillId="22" borderId="42" xfId="0" applyNumberFormat="1" applyFont="1" applyFill="1" applyBorder="1" applyAlignment="1" applyProtection="1">
      <alignment horizontal="right"/>
      <protection hidden="1"/>
    </xf>
    <xf numFmtId="2" fontId="0" fillId="10" borderId="50" xfId="0" applyNumberFormat="1" applyFill="1" applyBorder="1" applyAlignment="1" applyProtection="1">
      <alignment horizontal="right"/>
      <protection hidden="1"/>
    </xf>
    <xf numFmtId="2" fontId="0" fillId="10" borderId="4" xfId="0" applyNumberFormat="1" applyFill="1" applyBorder="1" applyAlignment="1" applyProtection="1">
      <alignment horizontal="right"/>
      <protection hidden="1"/>
    </xf>
    <xf numFmtId="2" fontId="0" fillId="10" borderId="24" xfId="0" applyNumberFormat="1" applyFill="1" applyBorder="1" applyAlignment="1" applyProtection="1">
      <alignment vertical="center"/>
      <protection hidden="1"/>
    </xf>
    <xf numFmtId="2" fontId="0" fillId="10" borderId="45" xfId="0" applyNumberFormat="1" applyFill="1" applyBorder="1" applyAlignment="1" applyProtection="1">
      <alignment horizontal="right"/>
      <protection hidden="1"/>
    </xf>
    <xf numFmtId="2" fontId="0" fillId="10" borderId="47" xfId="0" applyNumberFormat="1" applyFill="1" applyBorder="1" applyAlignment="1" applyProtection="1">
      <alignment horizontal="right" vertical="center"/>
      <protection hidden="1"/>
    </xf>
    <xf numFmtId="2" fontId="0" fillId="10" borderId="18" xfId="0" applyNumberFormat="1" applyFill="1" applyBorder="1" applyAlignment="1" applyProtection="1">
      <alignment horizontal="right"/>
      <protection hidden="1"/>
    </xf>
    <xf numFmtId="2" fontId="0" fillId="10" borderId="48" xfId="0" applyNumberFormat="1" applyFill="1" applyBorder="1" applyAlignment="1" applyProtection="1">
      <alignment horizontal="right"/>
      <protection hidden="1"/>
    </xf>
    <xf numFmtId="2" fontId="0" fillId="10" borderId="49" xfId="0" applyNumberFormat="1" applyFill="1" applyBorder="1" applyAlignment="1" applyProtection="1">
      <alignment horizontal="right" vertical="center"/>
      <protection hidden="1"/>
    </xf>
    <xf numFmtId="3" fontId="0" fillId="10" borderId="1" xfId="0" applyNumberFormat="1" applyFill="1" applyBorder="1" applyAlignment="1" applyProtection="1">
      <alignment horizontal="right"/>
      <protection hidden="1"/>
    </xf>
    <xf numFmtId="3" fontId="0" fillId="10" borderId="2" xfId="0" applyNumberFormat="1" applyFill="1" applyBorder="1" applyAlignment="1" applyProtection="1">
      <alignment horizontal="right"/>
      <protection hidden="1"/>
    </xf>
    <xf numFmtId="3" fontId="0" fillId="10" borderId="3" xfId="0" applyNumberFormat="1" applyFill="1" applyBorder="1" applyAlignment="1" applyProtection="1">
      <alignment horizontal="right"/>
      <protection hidden="1"/>
    </xf>
    <xf numFmtId="3" fontId="2" fillId="3" borderId="77" xfId="0" applyNumberFormat="1" applyFont="1" applyFill="1" applyBorder="1" applyAlignment="1" applyProtection="1">
      <alignment horizontal="right"/>
      <protection hidden="1"/>
    </xf>
    <xf numFmtId="3" fontId="2" fillId="3" borderId="27" xfId="0" applyNumberFormat="1" applyFont="1" applyFill="1" applyBorder="1" applyAlignment="1" applyProtection="1">
      <alignment horizontal="right"/>
      <protection hidden="1"/>
    </xf>
    <xf numFmtId="3" fontId="0" fillId="10" borderId="6" xfId="0" applyNumberFormat="1" applyFill="1" applyBorder="1" applyAlignment="1" applyProtection="1">
      <alignment horizontal="right"/>
      <protection hidden="1"/>
    </xf>
    <xf numFmtId="3" fontId="0" fillId="10" borderId="46" xfId="0" applyNumberFormat="1" applyFill="1" applyBorder="1" applyProtection="1">
      <protection hidden="1"/>
    </xf>
    <xf numFmtId="3" fontId="0" fillId="10" borderId="41" xfId="0" applyNumberFormat="1" applyFill="1" applyBorder="1" applyAlignment="1" applyProtection="1">
      <alignment horizontal="right"/>
      <protection hidden="1"/>
    </xf>
    <xf numFmtId="3" fontId="0" fillId="10" borderId="37" xfId="0" applyNumberFormat="1" applyFill="1" applyBorder="1" applyAlignment="1" applyProtection="1">
      <alignment horizontal="right"/>
      <protection hidden="1"/>
    </xf>
    <xf numFmtId="3" fontId="0" fillId="10" borderId="77" xfId="0" applyNumberFormat="1" applyFill="1" applyBorder="1" applyAlignment="1" applyProtection="1">
      <alignment horizontal="right"/>
      <protection hidden="1"/>
    </xf>
    <xf numFmtId="3" fontId="0" fillId="10" borderId="78" xfId="0" applyNumberFormat="1" applyFill="1" applyBorder="1" applyAlignment="1" applyProtection="1">
      <alignment horizontal="right"/>
      <protection hidden="1"/>
    </xf>
    <xf numFmtId="3" fontId="0" fillId="10" borderId="15" xfId="0" applyNumberFormat="1" applyFill="1" applyBorder="1" applyAlignment="1" applyProtection="1">
      <alignment horizontal="right"/>
      <protection hidden="1"/>
    </xf>
    <xf numFmtId="3" fontId="2" fillId="3" borderId="58" xfId="0" applyNumberFormat="1" applyFont="1" applyFill="1" applyBorder="1" applyAlignment="1" applyProtection="1">
      <alignment horizontal="right"/>
      <protection hidden="1"/>
    </xf>
    <xf numFmtId="164" fontId="0" fillId="3" borderId="32" xfId="0" applyNumberFormat="1" applyFill="1" applyBorder="1" applyProtection="1">
      <protection hidden="1"/>
    </xf>
    <xf numFmtId="164" fontId="0" fillId="3" borderId="0" xfId="0" applyNumberFormat="1" applyFill="1" applyProtection="1">
      <protection hidden="1"/>
    </xf>
    <xf numFmtId="164" fontId="0" fillId="3" borderId="30" xfId="0" applyNumberFormat="1" applyFill="1" applyBorder="1" applyProtection="1">
      <protection hidden="1"/>
    </xf>
    <xf numFmtId="3" fontId="18" fillId="2" borderId="18" xfId="0" applyNumberFormat="1" applyFont="1" applyFill="1" applyBorder="1" applyAlignment="1" applyProtection="1">
      <alignment horizontal="right" vertical="center"/>
      <protection hidden="1"/>
    </xf>
    <xf numFmtId="0" fontId="56" fillId="0" borderId="0" xfId="2" applyFont="1"/>
    <xf numFmtId="4" fontId="56" fillId="0" borderId="0" xfId="2" applyNumberFormat="1" applyFont="1"/>
    <xf numFmtId="0" fontId="57" fillId="0" borderId="0" xfId="0" applyFont="1"/>
    <xf numFmtId="2" fontId="56" fillId="0" borderId="0" xfId="2" applyNumberFormat="1" applyFont="1"/>
    <xf numFmtId="1" fontId="5" fillId="0" borderId="8" xfId="0" applyNumberFormat="1" applyFont="1" applyBorder="1" applyAlignment="1">
      <alignment horizontal="right" wrapText="1"/>
    </xf>
    <xf numFmtId="2" fontId="5" fillId="0" borderId="8" xfId="0" applyNumberFormat="1" applyFont="1" applyBorder="1" applyAlignment="1">
      <alignment horizontal="right" wrapText="1"/>
    </xf>
    <xf numFmtId="0" fontId="0" fillId="0" borderId="8" xfId="0" applyBorder="1" applyAlignment="1">
      <alignment wrapText="1"/>
    </xf>
    <xf numFmtId="0" fontId="11" fillId="0" borderId="23" xfId="0" applyFont="1" applyBorder="1" applyAlignment="1">
      <alignment horizontal="center" vertical="center" wrapText="1"/>
    </xf>
    <xf numFmtId="0" fontId="11" fillId="0" borderId="15" xfId="0" applyFont="1" applyBorder="1" applyAlignment="1">
      <alignment vertical="center" wrapText="1"/>
    </xf>
    <xf numFmtId="0" fontId="18" fillId="4" borderId="3" xfId="0" applyFont="1" applyFill="1" applyBorder="1" applyAlignment="1" applyProtection="1">
      <alignment horizontal="center" vertical="center"/>
      <protection hidden="1"/>
    </xf>
    <xf numFmtId="0" fontId="18" fillId="4" borderId="9" xfId="0" applyFont="1" applyFill="1" applyBorder="1" applyAlignment="1" applyProtection="1">
      <alignment horizontal="center" vertical="center"/>
      <protection hidden="1"/>
    </xf>
    <xf numFmtId="0" fontId="10" fillId="17" borderId="9" xfId="0" applyFont="1" applyFill="1" applyBorder="1" applyAlignment="1" applyProtection="1">
      <alignment horizontal="center" vertical="center"/>
      <protection hidden="1"/>
    </xf>
    <xf numFmtId="0" fontId="10" fillId="17" borderId="20" xfId="0" applyFont="1" applyFill="1" applyBorder="1" applyAlignment="1" applyProtection="1">
      <alignment horizontal="center" vertical="center"/>
      <protection hidden="1"/>
    </xf>
    <xf numFmtId="0" fontId="5" fillId="2" borderId="16" xfId="0" applyFont="1" applyFill="1" applyBorder="1" applyAlignment="1">
      <alignment wrapText="1"/>
    </xf>
    <xf numFmtId="0" fontId="5" fillId="2" borderId="17" xfId="0" applyFont="1" applyFill="1" applyBorder="1" applyAlignment="1">
      <alignment wrapText="1"/>
    </xf>
    <xf numFmtId="0" fontId="5" fillId="15" borderId="16" xfId="0" applyFont="1" applyFill="1" applyBorder="1" applyAlignment="1">
      <alignment wrapText="1"/>
    </xf>
    <xf numFmtId="0" fontId="5" fillId="15" borderId="8" xfId="0" applyFont="1" applyFill="1" applyBorder="1" applyAlignment="1">
      <alignment wrapText="1"/>
    </xf>
    <xf numFmtId="0" fontId="0" fillId="0" borderId="68" xfId="0" applyBorder="1"/>
    <xf numFmtId="164" fontId="0" fillId="3" borderId="34" xfId="0" applyNumberFormat="1" applyFill="1" applyBorder="1"/>
    <xf numFmtId="0" fontId="0" fillId="0" borderId="59" xfId="0" applyBorder="1"/>
    <xf numFmtId="0" fontId="0" fillId="0" borderId="48" xfId="0" applyBorder="1" applyAlignment="1">
      <alignment wrapText="1"/>
    </xf>
    <xf numFmtId="0" fontId="0" fillId="0" borderId="38" xfId="0" applyBorder="1" applyAlignment="1">
      <alignment wrapText="1"/>
    </xf>
    <xf numFmtId="0" fontId="0" fillId="0" borderId="39" xfId="0" applyBorder="1" applyAlignment="1">
      <alignment wrapText="1"/>
    </xf>
    <xf numFmtId="2" fontId="0" fillId="15" borderId="0" xfId="0" applyNumberFormat="1" applyFill="1" applyAlignment="1">
      <alignment horizontal="center"/>
    </xf>
    <xf numFmtId="0" fontId="0" fillId="4" borderId="7"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16" fillId="6" borderId="33" xfId="0" applyFont="1" applyFill="1" applyBorder="1" applyAlignment="1">
      <alignment horizontal="center" vertical="center" wrapText="1"/>
    </xf>
    <xf numFmtId="0" fontId="16" fillId="6" borderId="34"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7" borderId="4"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0" fillId="4" borderId="1" xfId="0" applyFill="1" applyBorder="1" applyAlignment="1">
      <alignment vertical="center"/>
    </xf>
    <xf numFmtId="0" fontId="0" fillId="4" borderId="2" xfId="0" applyFill="1" applyBorder="1" applyAlignment="1">
      <alignment vertical="center"/>
    </xf>
    <xf numFmtId="0" fontId="0" fillId="4" borderId="3" xfId="0" applyFill="1" applyBorder="1" applyAlignment="1">
      <alignment vertical="center"/>
    </xf>
    <xf numFmtId="0" fontId="0" fillId="4" borderId="18" xfId="0" applyFill="1" applyBorder="1" applyAlignment="1">
      <alignment vertical="center"/>
    </xf>
    <xf numFmtId="0" fontId="0" fillId="4" borderId="19" xfId="0" applyFill="1" applyBorder="1" applyAlignment="1">
      <alignment vertical="center"/>
    </xf>
    <xf numFmtId="0" fontId="0" fillId="4" borderId="20" xfId="0" applyFill="1" applyBorder="1" applyAlignment="1">
      <alignment vertical="center"/>
    </xf>
    <xf numFmtId="0" fontId="0" fillId="4" borderId="59" xfId="0" applyFill="1" applyBorder="1" applyAlignment="1">
      <alignment vertical="center"/>
    </xf>
    <xf numFmtId="0" fontId="0" fillId="4" borderId="64" xfId="0" applyFill="1" applyBorder="1" applyAlignment="1">
      <alignment vertical="center"/>
    </xf>
    <xf numFmtId="0" fontId="0" fillId="4" borderId="65" xfId="0" applyFill="1" applyBorder="1" applyAlignment="1">
      <alignment vertical="center"/>
    </xf>
    <xf numFmtId="0" fontId="0" fillId="4" borderId="45" xfId="0" applyFill="1" applyBorder="1" applyAlignment="1">
      <alignment vertical="center"/>
    </xf>
    <xf numFmtId="0" fontId="0" fillId="4" borderId="36" xfId="0" applyFill="1" applyBorder="1" applyAlignment="1">
      <alignment vertical="center"/>
    </xf>
    <xf numFmtId="0" fontId="0" fillId="4" borderId="37" xfId="0" applyFill="1" applyBorder="1" applyAlignment="1">
      <alignment vertical="center"/>
    </xf>
    <xf numFmtId="0" fontId="52" fillId="8" borderId="33" xfId="0" applyFont="1" applyFill="1" applyBorder="1" applyAlignment="1">
      <alignment horizontal="center"/>
    </xf>
    <xf numFmtId="0" fontId="52" fillId="8" borderId="34" xfId="0" applyFont="1" applyFill="1" applyBorder="1" applyAlignment="1">
      <alignment horizontal="center"/>
    </xf>
    <xf numFmtId="0" fontId="52" fillId="8" borderId="23" xfId="0" applyFont="1" applyFill="1" applyBorder="1" applyAlignment="1">
      <alignment horizontal="center"/>
    </xf>
    <xf numFmtId="0" fontId="35" fillId="11" borderId="4" xfId="0" applyFont="1" applyFill="1" applyBorder="1" applyAlignment="1">
      <alignment horizontal="center" vertical="center" wrapText="1"/>
    </xf>
    <xf numFmtId="0" fontId="35" fillId="11" borderId="13" xfId="0" applyFont="1" applyFill="1" applyBorder="1" applyAlignment="1">
      <alignment horizontal="center" vertical="center" wrapText="1"/>
    </xf>
    <xf numFmtId="0" fontId="28" fillId="14" borderId="4" xfId="0" applyFont="1" applyFill="1" applyBorder="1" applyAlignment="1">
      <alignment horizontal="center"/>
    </xf>
    <xf numFmtId="0" fontId="28" fillId="14" borderId="5" xfId="0" applyFont="1" applyFill="1" applyBorder="1" applyAlignment="1">
      <alignment horizontal="center"/>
    </xf>
    <xf numFmtId="0" fontId="28" fillId="14" borderId="6" xfId="0" applyFont="1" applyFill="1" applyBorder="1" applyAlignment="1">
      <alignment horizontal="center"/>
    </xf>
    <xf numFmtId="0" fontId="28" fillId="19" borderId="4" xfId="0" applyFont="1" applyFill="1" applyBorder="1" applyAlignment="1">
      <alignment horizontal="center" vertical="center"/>
    </xf>
    <xf numFmtId="0" fontId="28" fillId="19" borderId="5" xfId="0" applyFont="1" applyFill="1" applyBorder="1" applyAlignment="1">
      <alignment horizontal="center" vertical="center"/>
    </xf>
    <xf numFmtId="0" fontId="28" fillId="19" borderId="6" xfId="0" applyFont="1" applyFill="1" applyBorder="1" applyAlignment="1">
      <alignment horizontal="center" vertical="center"/>
    </xf>
    <xf numFmtId="0" fontId="28" fillId="19" borderId="13" xfId="0" applyFont="1" applyFill="1" applyBorder="1" applyAlignment="1">
      <alignment horizontal="center" vertical="center"/>
    </xf>
    <xf numFmtId="0" fontId="28" fillId="19" borderId="14" xfId="0" applyFont="1" applyFill="1" applyBorder="1" applyAlignment="1">
      <alignment horizontal="center" vertical="center"/>
    </xf>
    <xf numFmtId="0" fontId="28" fillId="19" borderId="15" xfId="0" applyFont="1" applyFill="1" applyBorder="1" applyAlignment="1">
      <alignment horizontal="center" vertical="center"/>
    </xf>
    <xf numFmtId="3" fontId="34" fillId="11" borderId="24" xfId="0" applyNumberFormat="1" applyFont="1" applyFill="1" applyBorder="1" applyAlignment="1" applyProtection="1">
      <alignment horizontal="center" vertical="center"/>
      <protection hidden="1"/>
    </xf>
    <xf numFmtId="3" fontId="34" fillId="11" borderId="27" xfId="0" applyNumberFormat="1" applyFont="1" applyFill="1" applyBorder="1" applyAlignment="1" applyProtection="1">
      <alignment horizontal="center" vertical="center"/>
      <protection hidden="1"/>
    </xf>
    <xf numFmtId="0" fontId="27" fillId="15" borderId="32" xfId="0" applyFont="1" applyFill="1" applyBorder="1" applyAlignment="1">
      <alignment horizontal="center"/>
    </xf>
    <xf numFmtId="0" fontId="27" fillId="15" borderId="0" xfId="0" applyFont="1" applyFill="1" applyAlignment="1">
      <alignment horizontal="center"/>
    </xf>
    <xf numFmtId="0" fontId="24" fillId="15" borderId="0" xfId="0" applyFont="1" applyFill="1" applyAlignment="1" applyProtection="1">
      <alignment horizontal="center"/>
      <protection locked="0"/>
    </xf>
    <xf numFmtId="0" fontId="22" fillId="12" borderId="0" xfId="0" applyFont="1" applyFill="1" applyAlignment="1">
      <alignment horizontal="left" vertical="top"/>
    </xf>
    <xf numFmtId="0" fontId="24" fillId="13" borderId="4" xfId="0" applyFont="1" applyFill="1" applyBorder="1" applyAlignment="1">
      <alignment horizontal="center" vertical="center"/>
    </xf>
    <xf numFmtId="0" fontId="24" fillId="13" borderId="5" xfId="0" applyFont="1" applyFill="1" applyBorder="1" applyAlignment="1">
      <alignment horizontal="center" vertical="center"/>
    </xf>
    <xf numFmtId="0" fontId="24" fillId="13" borderId="6"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4" xfId="0" applyFont="1" applyFill="1" applyBorder="1" applyAlignment="1">
      <alignment horizontal="center" vertical="center"/>
    </xf>
    <xf numFmtId="0" fontId="24" fillId="13" borderId="15" xfId="0" applyFont="1" applyFill="1" applyBorder="1" applyAlignment="1">
      <alignment horizontal="center" vertical="center"/>
    </xf>
    <xf numFmtId="0" fontId="24" fillId="13" borderId="5" xfId="0" applyFont="1" applyFill="1" applyBorder="1" applyAlignment="1">
      <alignment horizontal="left"/>
    </xf>
    <xf numFmtId="0" fontId="24" fillId="13" borderId="6" xfId="0" applyFont="1" applyFill="1" applyBorder="1" applyAlignment="1">
      <alignment horizontal="left"/>
    </xf>
    <xf numFmtId="0" fontId="24" fillId="13" borderId="14" xfId="0" applyFont="1" applyFill="1" applyBorder="1" applyAlignment="1">
      <alignment horizontal="left"/>
    </xf>
    <xf numFmtId="0" fontId="24" fillId="13" borderId="15" xfId="0" applyFont="1" applyFill="1" applyBorder="1" applyAlignment="1">
      <alignment horizontal="left"/>
    </xf>
    <xf numFmtId="3" fontId="26" fillId="13" borderId="5" xfId="0" applyNumberFormat="1" applyFont="1" applyFill="1" applyBorder="1" applyAlignment="1" applyProtection="1">
      <alignment horizontal="center"/>
      <protection hidden="1"/>
    </xf>
    <xf numFmtId="3" fontId="26" fillId="13" borderId="14" xfId="0" applyNumberFormat="1" applyFont="1" applyFill="1" applyBorder="1" applyAlignment="1" applyProtection="1">
      <alignment horizontal="center"/>
      <protection hidden="1"/>
    </xf>
    <xf numFmtId="3" fontId="26" fillId="13" borderId="5" xfId="1" applyNumberFormat="1" applyFont="1" applyFill="1" applyBorder="1" applyAlignment="1" applyProtection="1">
      <alignment horizontal="center"/>
      <protection hidden="1"/>
    </xf>
    <xf numFmtId="3" fontId="26" fillId="13" borderId="14" xfId="1" applyNumberFormat="1" applyFont="1" applyFill="1" applyBorder="1" applyAlignment="1" applyProtection="1">
      <alignment horizontal="center"/>
      <protection hidden="1"/>
    </xf>
    <xf numFmtId="0" fontId="0" fillId="17" borderId="7" xfId="0" applyFill="1" applyBorder="1" applyAlignment="1" applyProtection="1">
      <alignment vertical="center"/>
      <protection locked="0" hidden="1"/>
    </xf>
    <xf numFmtId="0" fontId="0" fillId="17" borderId="8" xfId="0" applyFill="1" applyBorder="1" applyAlignment="1" applyProtection="1">
      <alignment vertical="center"/>
      <protection locked="0" hidden="1"/>
    </xf>
    <xf numFmtId="0" fontId="0" fillId="17" borderId="9" xfId="0" applyFill="1" applyBorder="1" applyAlignment="1" applyProtection="1">
      <alignment vertical="center"/>
      <protection locked="0" hidden="1"/>
    </xf>
    <xf numFmtId="0" fontId="33" fillId="4" borderId="59" xfId="0" applyFont="1" applyFill="1" applyBorder="1" applyAlignment="1" applyProtection="1">
      <alignment horizontal="left"/>
      <protection locked="0" hidden="1"/>
    </xf>
    <xf numFmtId="0" fontId="33" fillId="4" borderId="64" xfId="0" applyFont="1" applyFill="1" applyBorder="1" applyAlignment="1" applyProtection="1">
      <alignment horizontal="left"/>
      <protection locked="0" hidden="1"/>
    </xf>
    <xf numFmtId="0" fontId="33" fillId="4" borderId="65" xfId="0" applyFont="1" applyFill="1" applyBorder="1" applyAlignment="1" applyProtection="1">
      <alignment horizontal="left"/>
      <protection locked="0" hidden="1"/>
    </xf>
    <xf numFmtId="0" fontId="24" fillId="15" borderId="14" xfId="0" applyFont="1" applyFill="1" applyBorder="1" applyAlignment="1" applyProtection="1">
      <alignment horizontal="center"/>
      <protection locked="0"/>
    </xf>
    <xf numFmtId="0" fontId="44" fillId="15" borderId="4" xfId="0" applyFont="1" applyFill="1" applyBorder="1" applyAlignment="1" applyProtection="1">
      <alignment horizontal="center" wrapText="1"/>
      <protection locked="0"/>
    </xf>
    <xf numFmtId="0" fontId="44" fillId="15" borderId="13" xfId="0" applyFont="1" applyFill="1" applyBorder="1" applyAlignment="1" applyProtection="1">
      <alignment horizontal="center" wrapText="1"/>
      <protection locked="0"/>
    </xf>
    <xf numFmtId="3" fontId="44" fillId="15" borderId="24" xfId="0" applyNumberFormat="1" applyFont="1" applyFill="1" applyBorder="1" applyAlignment="1" applyProtection="1">
      <alignment horizontal="center"/>
      <protection locked="0"/>
    </xf>
    <xf numFmtId="3" fontId="44" fillId="15" borderId="27" xfId="0" applyNumberFormat="1" applyFont="1" applyFill="1" applyBorder="1" applyAlignment="1" applyProtection="1">
      <alignment horizontal="center"/>
      <protection locked="0"/>
    </xf>
    <xf numFmtId="1" fontId="44" fillId="15" borderId="6" xfId="0" applyNumberFormat="1" applyFont="1" applyFill="1" applyBorder="1" applyAlignment="1" applyProtection="1">
      <alignment horizontal="center"/>
      <protection locked="0"/>
    </xf>
    <xf numFmtId="1" fontId="44" fillId="15" borderId="15" xfId="0" applyNumberFormat="1" applyFont="1" applyFill="1" applyBorder="1" applyAlignment="1" applyProtection="1">
      <alignment horizontal="center"/>
      <protection locked="0"/>
    </xf>
    <xf numFmtId="0" fontId="2" fillId="8" borderId="4" xfId="0" applyFont="1" applyFill="1" applyBorder="1" applyAlignment="1">
      <alignment horizontal="center"/>
    </xf>
    <xf numFmtId="0" fontId="2" fillId="8" borderId="5" xfId="0" applyFont="1" applyFill="1" applyBorder="1" applyAlignment="1">
      <alignment horizontal="center"/>
    </xf>
    <xf numFmtId="0" fontId="2" fillId="8" borderId="6" xfId="0" applyFont="1" applyFill="1" applyBorder="1" applyAlignment="1">
      <alignment horizontal="center"/>
    </xf>
    <xf numFmtId="0" fontId="2" fillId="9" borderId="13" xfId="0" applyFont="1" applyFill="1" applyBorder="1" applyAlignment="1">
      <alignment horizontal="center"/>
    </xf>
    <xf numFmtId="0" fontId="2" fillId="9" borderId="14" xfId="0" applyFont="1" applyFill="1" applyBorder="1" applyAlignment="1">
      <alignment horizontal="center"/>
    </xf>
    <xf numFmtId="0" fontId="2" fillId="9" borderId="15" xfId="0" applyFont="1" applyFill="1" applyBorder="1" applyAlignment="1">
      <alignment horizontal="center"/>
    </xf>
    <xf numFmtId="0" fontId="2" fillId="9" borderId="32" xfId="0" applyFont="1" applyFill="1" applyBorder="1" applyAlignment="1">
      <alignment horizontal="center"/>
    </xf>
    <xf numFmtId="0" fontId="2" fillId="9" borderId="0" xfId="0" applyFont="1" applyFill="1" applyAlignment="1">
      <alignment horizontal="center"/>
    </xf>
    <xf numFmtId="0" fontId="2" fillId="9" borderId="30" xfId="0" applyFont="1" applyFill="1" applyBorder="1" applyAlignment="1">
      <alignment horizontal="center"/>
    </xf>
    <xf numFmtId="0" fontId="0" fillId="0" borderId="59"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59" xfId="0" applyBorder="1" applyAlignment="1" applyProtection="1">
      <alignment horizontal="center"/>
      <protection hidden="1"/>
    </xf>
    <xf numFmtId="0" fontId="0" fillId="0" borderId="64" xfId="0" applyBorder="1" applyAlignment="1" applyProtection="1">
      <alignment horizontal="center"/>
      <protection hidden="1"/>
    </xf>
    <xf numFmtId="0" fontId="0" fillId="0" borderId="65" xfId="0" applyBorder="1" applyAlignment="1" applyProtection="1">
      <alignment horizontal="center"/>
      <protection hidden="1"/>
    </xf>
    <xf numFmtId="0" fontId="0" fillId="0" borderId="48" xfId="0" applyBorder="1" applyAlignment="1">
      <alignment horizontal="left"/>
    </xf>
    <xf numFmtId="0" fontId="0" fillId="0" borderId="68" xfId="0" applyBorder="1" applyAlignment="1">
      <alignment horizontal="left"/>
    </xf>
    <xf numFmtId="0" fontId="0" fillId="0" borderId="35"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59" xfId="0" applyBorder="1" applyAlignment="1">
      <alignment horizontal="left"/>
    </xf>
    <xf numFmtId="0" fontId="0" fillId="0" borderId="67" xfId="0" applyBorder="1" applyAlignment="1">
      <alignment horizontal="left"/>
    </xf>
    <xf numFmtId="0" fontId="0" fillId="0" borderId="45" xfId="0" applyBorder="1" applyAlignment="1">
      <alignment horizontal="left"/>
    </xf>
    <xf numFmtId="0" fontId="0" fillId="0" borderId="17" xfId="0" applyBorder="1" applyAlignment="1">
      <alignment horizontal="left"/>
    </xf>
    <xf numFmtId="0" fontId="0" fillId="0" borderId="16"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0" xfId="0"/>
    <xf numFmtId="0" fontId="0" fillId="0" borderId="30" xfId="0" applyBorder="1"/>
    <xf numFmtId="0" fontId="0" fillId="0" borderId="0" xfId="0" applyAlignment="1">
      <alignment horizontal="left"/>
    </xf>
    <xf numFmtId="0" fontId="0" fillId="0" borderId="30" xfId="0" applyBorder="1" applyAlignment="1">
      <alignment horizontal="left"/>
    </xf>
    <xf numFmtId="0" fontId="0" fillId="0" borderId="6" xfId="0" applyBorder="1" applyAlignment="1">
      <alignment horizont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5" fillId="2" borderId="16" xfId="0" applyFont="1" applyFill="1" applyBorder="1" applyAlignment="1">
      <alignment horizontal="left" wrapText="1"/>
    </xf>
    <xf numFmtId="0" fontId="5" fillId="2" borderId="17" xfId="0" applyFont="1" applyFill="1" applyBorder="1" applyAlignment="1">
      <alignment horizontal="left" wrapText="1"/>
    </xf>
    <xf numFmtId="0" fontId="4" fillId="0" borderId="4" xfId="0" applyFont="1" applyBorder="1" applyAlignment="1">
      <alignment vertical="center" wrapText="1"/>
    </xf>
    <xf numFmtId="0" fontId="4" fillId="0" borderId="10" xfId="0" applyFont="1" applyBorder="1" applyAlignment="1">
      <alignment vertical="center" wrapText="1"/>
    </xf>
    <xf numFmtId="0" fontId="12" fillId="0" borderId="24"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vertical="center" wrapText="1"/>
    </xf>
    <xf numFmtId="0" fontId="13" fillId="0" borderId="24" xfId="0" applyFont="1" applyBorder="1" applyAlignment="1">
      <alignment horizontal="left" vertical="center" wrapText="1"/>
    </xf>
    <xf numFmtId="0" fontId="13" fillId="0" borderId="27" xfId="0" applyFont="1" applyBorder="1" applyAlignment="1">
      <alignment horizontal="left" vertical="center" wrapText="1"/>
    </xf>
    <xf numFmtId="0" fontId="13" fillId="0" borderId="24" xfId="0" applyFont="1" applyBorder="1" applyAlignment="1">
      <alignment vertical="center" wrapText="1"/>
    </xf>
    <xf numFmtId="0" fontId="13" fillId="0" borderId="27" xfId="0" applyFont="1" applyBorder="1" applyAlignment="1">
      <alignment vertical="center" wrapText="1"/>
    </xf>
    <xf numFmtId="0" fontId="12" fillId="0" borderId="24" xfId="0" applyFont="1" applyBorder="1" applyAlignment="1">
      <alignment horizontal="left" vertical="center" wrapText="1"/>
    </xf>
    <xf numFmtId="0" fontId="12" fillId="0" borderId="27" xfId="0" applyFont="1" applyBorder="1" applyAlignment="1">
      <alignment horizontal="left" vertical="center" wrapText="1"/>
    </xf>
    <xf numFmtId="0" fontId="12" fillId="0" borderId="31" xfId="0" applyFont="1" applyBorder="1" applyAlignment="1">
      <alignment vertical="center" wrapText="1"/>
    </xf>
    <xf numFmtId="0" fontId="10" fillId="3" borderId="4"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2" fillId="0" borderId="28" xfId="0" applyFont="1" applyBorder="1" applyAlignment="1">
      <alignment vertical="center" wrapText="1"/>
    </xf>
    <xf numFmtId="0" fontId="11" fillId="0" borderId="24" xfId="0" applyFont="1" applyBorder="1" applyAlignment="1">
      <alignment vertical="center" wrapText="1"/>
    </xf>
    <xf numFmtId="0" fontId="11" fillId="0" borderId="27" xfId="0" applyFont="1" applyBorder="1" applyAlignment="1">
      <alignment vertical="center" wrapText="1"/>
    </xf>
    <xf numFmtId="0" fontId="12" fillId="0" borderId="24" xfId="0" applyFont="1" applyBorder="1" applyAlignment="1">
      <alignment horizontal="justify" vertical="center" wrapText="1"/>
    </xf>
    <xf numFmtId="0" fontId="12" fillId="0" borderId="27" xfId="0" applyFont="1" applyBorder="1" applyAlignment="1">
      <alignment horizontal="justify" vertical="center" wrapText="1"/>
    </xf>
    <xf numFmtId="9" fontId="12" fillId="0" borderId="24" xfId="0" applyNumberFormat="1" applyFont="1" applyBorder="1" applyAlignment="1">
      <alignment horizontal="right" vertical="center" wrapText="1"/>
    </xf>
    <xf numFmtId="9" fontId="12" fillId="0" borderId="29" xfId="0" applyNumberFormat="1" applyFont="1" applyBorder="1" applyAlignment="1">
      <alignment horizontal="right" vertical="center" wrapText="1"/>
    </xf>
    <xf numFmtId="9" fontId="12" fillId="0" borderId="27" xfId="0" applyNumberFormat="1" applyFont="1" applyBorder="1" applyAlignment="1">
      <alignment horizontal="right" vertical="center" wrapText="1"/>
    </xf>
    <xf numFmtId="9" fontId="12" fillId="0" borderId="24" xfId="0" applyNumberFormat="1" applyFont="1" applyBorder="1" applyAlignment="1">
      <alignment vertical="center" wrapText="1"/>
    </xf>
    <xf numFmtId="9" fontId="12" fillId="0" borderId="27" xfId="0" applyNumberFormat="1" applyFont="1" applyBorder="1" applyAlignment="1">
      <alignment vertical="center" wrapText="1"/>
    </xf>
    <xf numFmtId="0" fontId="13" fillId="0" borderId="29" xfId="0" applyFont="1" applyBorder="1" applyAlignment="1">
      <alignment vertical="center" wrapText="1"/>
    </xf>
    <xf numFmtId="0" fontId="41" fillId="0" borderId="24" xfId="0" applyFont="1" applyBorder="1" applyAlignment="1">
      <alignment vertical="center" wrapText="1"/>
    </xf>
    <xf numFmtId="0" fontId="41" fillId="0" borderId="29" xfId="0" applyFont="1" applyBorder="1" applyAlignment="1">
      <alignment vertical="center" wrapText="1"/>
    </xf>
    <xf numFmtId="0" fontId="41" fillId="0" borderId="27" xfId="0" applyFont="1" applyBorder="1" applyAlignment="1">
      <alignment vertical="center" wrapText="1"/>
    </xf>
    <xf numFmtId="0" fontId="36" fillId="0" borderId="55" xfId="0" applyFont="1" applyBorder="1" applyAlignment="1">
      <alignment horizontal="center" textRotation="90" wrapText="1"/>
    </xf>
    <xf numFmtId="0" fontId="36" fillId="0" borderId="88" xfId="0" applyFont="1" applyBorder="1" applyAlignment="1">
      <alignment horizontal="center" textRotation="90" wrapText="1"/>
    </xf>
    <xf numFmtId="0" fontId="36" fillId="0" borderId="60" xfId="0" applyFont="1" applyBorder="1" applyAlignment="1">
      <alignment horizontal="center" textRotation="90" wrapText="1"/>
    </xf>
    <xf numFmtId="0" fontId="36" fillId="0" borderId="89" xfId="0" applyFont="1" applyBorder="1" applyAlignment="1">
      <alignment horizontal="left" vertical="top" wrapText="1"/>
    </xf>
    <xf numFmtId="0" fontId="36" fillId="0" borderId="75" xfId="0" applyFont="1" applyBorder="1" applyAlignment="1">
      <alignment horizontal="left" vertical="top" wrapText="1"/>
    </xf>
    <xf numFmtId="0" fontId="0" fillId="0" borderId="69" xfId="0" applyBorder="1" applyAlignment="1">
      <alignment horizontal="center" vertical="top"/>
    </xf>
    <xf numFmtId="0" fontId="36" fillId="0" borderId="69" xfId="0" applyFont="1" applyBorder="1" applyAlignment="1">
      <alignment horizontal="left" vertical="top" wrapText="1"/>
    </xf>
    <xf numFmtId="0" fontId="0" fillId="0" borderId="75" xfId="0" applyBorder="1" applyAlignment="1">
      <alignment horizontal="left" vertical="top"/>
    </xf>
    <xf numFmtId="0" fontId="36" fillId="0" borderId="70" xfId="0" applyFont="1" applyBorder="1" applyAlignment="1">
      <alignment horizontal="left" vertical="top"/>
    </xf>
    <xf numFmtId="0" fontId="36" fillId="0" borderId="70" xfId="0" applyFont="1" applyBorder="1" applyAlignment="1">
      <alignment horizontal="center" vertical="top"/>
    </xf>
    <xf numFmtId="0" fontId="36" fillId="0" borderId="70" xfId="0" applyFont="1" applyBorder="1" applyAlignment="1">
      <alignment horizontal="center" vertical="center" wrapText="1"/>
    </xf>
    <xf numFmtId="0" fontId="36" fillId="0" borderId="72" xfId="0" applyFont="1" applyBorder="1" applyAlignment="1">
      <alignment horizontal="center" vertical="center" wrapText="1"/>
    </xf>
    <xf numFmtId="0" fontId="36" fillId="0" borderId="73" xfId="0" applyFont="1" applyBorder="1" applyAlignment="1">
      <alignment horizontal="left" vertical="top"/>
    </xf>
    <xf numFmtId="0" fontId="36" fillId="0" borderId="71" xfId="0" applyFont="1" applyBorder="1" applyAlignment="1">
      <alignment horizontal="left" vertical="top"/>
    </xf>
    <xf numFmtId="0" fontId="36" fillId="0" borderId="71" xfId="0" applyFont="1" applyBorder="1" applyAlignment="1">
      <alignment horizontal="center" vertical="top"/>
    </xf>
    <xf numFmtId="0" fontId="31" fillId="0" borderId="69" xfId="0" applyFont="1" applyBorder="1" applyAlignment="1">
      <alignment horizontal="left" vertical="top" wrapText="1"/>
    </xf>
    <xf numFmtId="0" fontId="0" fillId="0" borderId="69" xfId="0" applyBorder="1" applyAlignment="1">
      <alignment horizontal="left" vertical="top"/>
    </xf>
    <xf numFmtId="0" fontId="31" fillId="21" borderId="69" xfId="0" applyFont="1" applyFill="1" applyBorder="1" applyAlignment="1">
      <alignment horizontal="left" vertical="top" wrapText="1"/>
    </xf>
    <xf numFmtId="0" fontId="0" fillId="21" borderId="69" xfId="0" applyFill="1" applyBorder="1" applyAlignment="1">
      <alignment horizontal="left" vertical="top"/>
    </xf>
    <xf numFmtId="0" fontId="31" fillId="0" borderId="75" xfId="0" applyFont="1" applyBorder="1" applyAlignment="1">
      <alignment horizontal="left" vertical="top" wrapText="1"/>
    </xf>
    <xf numFmtId="0" fontId="31" fillId="0" borderId="69" xfId="0" applyFont="1" applyBorder="1" applyAlignment="1">
      <alignment horizontal="center" vertical="top" wrapText="1"/>
    </xf>
    <xf numFmtId="0" fontId="36" fillId="0" borderId="87" xfId="0" applyFont="1" applyBorder="1" applyAlignment="1">
      <alignment horizontal="left" vertical="top" wrapText="1"/>
    </xf>
    <xf numFmtId="0" fontId="36" fillId="0" borderId="72" xfId="0" applyFont="1" applyBorder="1" applyAlignment="1">
      <alignment horizontal="left" vertical="top" wrapText="1"/>
    </xf>
    <xf numFmtId="0" fontId="0" fillId="0" borderId="8" xfId="0" applyBorder="1" applyAlignment="1">
      <alignment horizontal="center" vertical="top"/>
    </xf>
    <xf numFmtId="0" fontId="31" fillId="0" borderId="69" xfId="0" applyFont="1" applyBorder="1" applyAlignment="1">
      <alignment horizontal="left" vertical="top"/>
    </xf>
    <xf numFmtId="0" fontId="36" fillId="0" borderId="76" xfId="0" applyFont="1" applyBorder="1" applyAlignment="1">
      <alignment horizontal="left" vertical="top"/>
    </xf>
    <xf numFmtId="0" fontId="40" fillId="23" borderId="0" xfId="0" applyFont="1" applyFill="1" applyAlignment="1">
      <alignment horizontal="center" wrapText="1"/>
    </xf>
    <xf numFmtId="0" fontId="31" fillId="0" borderId="86" xfId="0" applyFont="1" applyBorder="1" applyAlignment="1">
      <alignment horizontal="center" vertical="top" wrapText="1"/>
    </xf>
    <xf numFmtId="0" fontId="31" fillId="0" borderId="75" xfId="0" applyFont="1" applyBorder="1" applyAlignment="1">
      <alignment horizontal="center" vertical="top" wrapText="1"/>
    </xf>
    <xf numFmtId="0" fontId="0" fillId="0" borderId="86" xfId="0" applyBorder="1" applyAlignment="1">
      <alignment horizontal="center" vertical="top"/>
    </xf>
    <xf numFmtId="0" fontId="0" fillId="0" borderId="75" xfId="0" applyBorder="1" applyAlignment="1">
      <alignment horizontal="center" vertical="top"/>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0"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2"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10" fillId="3" borderId="32" xfId="0" applyFont="1" applyFill="1" applyBorder="1" applyAlignment="1">
      <alignment horizontal="center" vertical="center" wrapText="1"/>
    </xf>
    <xf numFmtId="0" fontId="10" fillId="3" borderId="90" xfId="0" applyFont="1" applyFill="1" applyBorder="1" applyAlignment="1">
      <alignment horizontal="center" vertical="center" wrapText="1"/>
    </xf>
    <xf numFmtId="0" fontId="0" fillId="0" borderId="0" xfId="0" applyBorder="1" applyAlignment="1">
      <alignment horizontal="left" vertical="top" wrapText="1"/>
    </xf>
  </cellXfs>
  <cellStyles count="3">
    <cellStyle name="Normal" xfId="0" builtinId="0"/>
    <cellStyle name="Normal 2" xfId="2" xr:uid="{FD8741C6-B87C-4AA0-B54B-09EDC3CED79B}"/>
    <cellStyle name="Percent" xfId="1" builtinId="5"/>
  </cellStyles>
  <dxfs count="3">
    <dxf>
      <font>
        <strike val="0"/>
      </font>
      <fill>
        <patternFill>
          <bgColor theme="0"/>
        </patternFill>
      </fill>
    </dxf>
    <dxf>
      <font>
        <strike val="0"/>
      </font>
      <fill>
        <patternFill>
          <bgColor theme="0"/>
        </patternFill>
      </fill>
    </dxf>
    <dxf>
      <fill>
        <patternFill>
          <bgColor theme="9" tint="0.79998168889431442"/>
        </patternFill>
      </fill>
    </dxf>
  </dxfs>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Referansenivå: samlet klimagassutslipp over livsløpet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stacked"/>
        <c:varyColors val="0"/>
        <c:ser>
          <c:idx val="0"/>
          <c:order val="0"/>
          <c:tx>
            <c:strRef>
              <c:f>Verktøy!$P$26</c:f>
              <c:strCache>
                <c:ptCount val="1"/>
                <c:pt idx="0">
                  <c:v>A1-A3</c:v>
                </c:pt>
              </c:strCache>
            </c:strRef>
          </c:tx>
          <c:spPr>
            <a:solidFill>
              <a:schemeClr val="accent1"/>
            </a:solidFill>
            <a:ln>
              <a:noFill/>
            </a:ln>
            <a:effectLst/>
          </c:spPr>
          <c:invertIfNegative val="0"/>
          <c:cat>
            <c:strRef>
              <c:extLst>
                <c:ext xmlns:c15="http://schemas.microsoft.com/office/drawing/2012/chart" uri="{02D57815-91ED-43cb-92C2-25804820EDAC}">
                  <c15:fullRef>
                    <c15:sqref>Verktøy!$O$27:$O$34</c15:sqref>
                  </c15:fullRef>
                </c:ext>
              </c:extLst>
              <c:f>Verktøy!$O$27:$O$33</c:f>
              <c:strCache>
                <c:ptCount val="7"/>
                <c:pt idx="0">
                  <c:v>21 Grunn og fundamenter</c:v>
                </c:pt>
                <c:pt idx="1">
                  <c:v>22 Bæresystemer</c:v>
                </c:pt>
                <c:pt idx="2">
                  <c:v>23 Yttervegger</c:v>
                </c:pt>
                <c:pt idx="3">
                  <c:v>24 Innervegger</c:v>
                </c:pt>
                <c:pt idx="4">
                  <c:v>25 Dekker</c:v>
                </c:pt>
                <c:pt idx="5">
                  <c:v>26 Yttertak</c:v>
                </c:pt>
                <c:pt idx="6">
                  <c:v>28 Trapper og balkonger</c:v>
                </c:pt>
              </c:strCache>
            </c:strRef>
          </c:cat>
          <c:val>
            <c:numRef>
              <c:extLst>
                <c:ext xmlns:c15="http://schemas.microsoft.com/office/drawing/2012/chart" uri="{02D57815-91ED-43cb-92C2-25804820EDAC}">
                  <c15:fullRef>
                    <c15:sqref>Verktøy!$P$27:$P$34</c15:sqref>
                  </c15:fullRef>
                </c:ext>
              </c:extLst>
              <c:f>Verktøy!$P$27:$P$33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D5C-4675-973A-C6F2245DA9D8}"/>
            </c:ext>
          </c:extLst>
        </c:ser>
        <c:ser>
          <c:idx val="1"/>
          <c:order val="1"/>
          <c:tx>
            <c:strRef>
              <c:f>Verktøy!$Q$26</c:f>
              <c:strCache>
                <c:ptCount val="1"/>
                <c:pt idx="0">
                  <c:v>A4</c:v>
                </c:pt>
              </c:strCache>
            </c:strRef>
          </c:tx>
          <c:spPr>
            <a:solidFill>
              <a:schemeClr val="accent2"/>
            </a:solidFill>
            <a:ln>
              <a:noFill/>
            </a:ln>
            <a:effectLst/>
          </c:spPr>
          <c:invertIfNegative val="0"/>
          <c:cat>
            <c:strRef>
              <c:extLst>
                <c:ext xmlns:c15="http://schemas.microsoft.com/office/drawing/2012/chart" uri="{02D57815-91ED-43cb-92C2-25804820EDAC}">
                  <c15:fullRef>
                    <c15:sqref>Verktøy!$O$27:$O$34</c15:sqref>
                  </c15:fullRef>
                </c:ext>
              </c:extLst>
              <c:f>Verktøy!$O$27:$O$33</c:f>
              <c:strCache>
                <c:ptCount val="7"/>
                <c:pt idx="0">
                  <c:v>21 Grunn og fundamenter</c:v>
                </c:pt>
                <c:pt idx="1">
                  <c:v>22 Bæresystemer</c:v>
                </c:pt>
                <c:pt idx="2">
                  <c:v>23 Yttervegger</c:v>
                </c:pt>
                <c:pt idx="3">
                  <c:v>24 Innervegger</c:v>
                </c:pt>
                <c:pt idx="4">
                  <c:v>25 Dekker</c:v>
                </c:pt>
                <c:pt idx="5">
                  <c:v>26 Yttertak</c:v>
                </c:pt>
                <c:pt idx="6">
                  <c:v>28 Trapper og balkonger</c:v>
                </c:pt>
              </c:strCache>
            </c:strRef>
          </c:cat>
          <c:val>
            <c:numRef>
              <c:extLst>
                <c:ext xmlns:c15="http://schemas.microsoft.com/office/drawing/2012/chart" uri="{02D57815-91ED-43cb-92C2-25804820EDAC}">
                  <c15:fullRef>
                    <c15:sqref>Verktøy!$Q$27:$Q$34</c15:sqref>
                  </c15:fullRef>
                </c:ext>
              </c:extLst>
              <c:f>Verktøy!$Q$27:$Q$33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D5C-4675-973A-C6F2245DA9D8}"/>
            </c:ext>
          </c:extLst>
        </c:ser>
        <c:ser>
          <c:idx val="2"/>
          <c:order val="2"/>
          <c:tx>
            <c:strRef>
              <c:f>Verktøy!$R$26</c:f>
              <c:strCache>
                <c:ptCount val="1"/>
                <c:pt idx="0">
                  <c:v>A5 (kapp og svinn)</c:v>
                </c:pt>
              </c:strCache>
            </c:strRef>
          </c:tx>
          <c:spPr>
            <a:solidFill>
              <a:schemeClr val="accent3"/>
            </a:solidFill>
            <a:ln>
              <a:noFill/>
            </a:ln>
            <a:effectLst/>
          </c:spPr>
          <c:invertIfNegative val="0"/>
          <c:cat>
            <c:strRef>
              <c:extLst>
                <c:ext xmlns:c15="http://schemas.microsoft.com/office/drawing/2012/chart" uri="{02D57815-91ED-43cb-92C2-25804820EDAC}">
                  <c15:fullRef>
                    <c15:sqref>Verktøy!$O$27:$O$34</c15:sqref>
                  </c15:fullRef>
                </c:ext>
              </c:extLst>
              <c:f>Verktøy!$O$27:$O$33</c:f>
              <c:strCache>
                <c:ptCount val="7"/>
                <c:pt idx="0">
                  <c:v>21 Grunn og fundamenter</c:v>
                </c:pt>
                <c:pt idx="1">
                  <c:v>22 Bæresystemer</c:v>
                </c:pt>
                <c:pt idx="2">
                  <c:v>23 Yttervegger</c:v>
                </c:pt>
                <c:pt idx="3">
                  <c:v>24 Innervegger</c:v>
                </c:pt>
                <c:pt idx="4">
                  <c:v>25 Dekker</c:v>
                </c:pt>
                <c:pt idx="5">
                  <c:v>26 Yttertak</c:v>
                </c:pt>
                <c:pt idx="6">
                  <c:v>28 Trapper og balkonger</c:v>
                </c:pt>
              </c:strCache>
            </c:strRef>
          </c:cat>
          <c:val>
            <c:numRef>
              <c:extLst>
                <c:ext xmlns:c15="http://schemas.microsoft.com/office/drawing/2012/chart" uri="{02D57815-91ED-43cb-92C2-25804820EDAC}">
                  <c15:fullRef>
                    <c15:sqref>Verktøy!$R$27:$R$34</c15:sqref>
                  </c15:fullRef>
                </c:ext>
              </c:extLst>
              <c:f>Verktøy!$R$27:$R$33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AD5C-4675-973A-C6F2245DA9D8}"/>
            </c:ext>
          </c:extLst>
        </c:ser>
        <c:ser>
          <c:idx val="3"/>
          <c:order val="3"/>
          <c:tx>
            <c:strRef>
              <c:f>Verktøy!$S$26</c:f>
              <c:strCache>
                <c:ptCount val="1"/>
                <c:pt idx="0">
                  <c:v>B2, B4</c:v>
                </c:pt>
              </c:strCache>
            </c:strRef>
          </c:tx>
          <c:spPr>
            <a:solidFill>
              <a:schemeClr val="accent4"/>
            </a:solidFill>
            <a:ln>
              <a:noFill/>
            </a:ln>
            <a:effectLst/>
          </c:spPr>
          <c:invertIfNegative val="0"/>
          <c:cat>
            <c:strRef>
              <c:extLst>
                <c:ext xmlns:c15="http://schemas.microsoft.com/office/drawing/2012/chart" uri="{02D57815-91ED-43cb-92C2-25804820EDAC}">
                  <c15:fullRef>
                    <c15:sqref>Verktøy!$O$27:$O$34</c15:sqref>
                  </c15:fullRef>
                </c:ext>
              </c:extLst>
              <c:f>Verktøy!$O$27:$O$33</c:f>
              <c:strCache>
                <c:ptCount val="7"/>
                <c:pt idx="0">
                  <c:v>21 Grunn og fundamenter</c:v>
                </c:pt>
                <c:pt idx="1">
                  <c:v>22 Bæresystemer</c:v>
                </c:pt>
                <c:pt idx="2">
                  <c:v>23 Yttervegger</c:v>
                </c:pt>
                <c:pt idx="3">
                  <c:v>24 Innervegger</c:v>
                </c:pt>
                <c:pt idx="4">
                  <c:v>25 Dekker</c:v>
                </c:pt>
                <c:pt idx="5">
                  <c:v>26 Yttertak</c:v>
                </c:pt>
                <c:pt idx="6">
                  <c:v>28 Trapper og balkonger</c:v>
                </c:pt>
              </c:strCache>
            </c:strRef>
          </c:cat>
          <c:val>
            <c:numRef>
              <c:extLst>
                <c:ext xmlns:c15="http://schemas.microsoft.com/office/drawing/2012/chart" uri="{02D57815-91ED-43cb-92C2-25804820EDAC}">
                  <c15:fullRef>
                    <c15:sqref>Verktøy!$S$27:$S$34</c15:sqref>
                  </c15:fullRef>
                </c:ext>
              </c:extLst>
              <c:f>Verktøy!$S$27:$S$33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AD5C-4675-973A-C6F2245DA9D8}"/>
            </c:ext>
          </c:extLst>
        </c:ser>
        <c:dLbls>
          <c:showLegendKey val="0"/>
          <c:showVal val="0"/>
          <c:showCatName val="0"/>
          <c:showSerName val="0"/>
          <c:showPercent val="0"/>
          <c:showBubbleSize val="0"/>
        </c:dLbls>
        <c:gapWidth val="150"/>
        <c:overlap val="100"/>
        <c:axId val="1368260496"/>
        <c:axId val="1368260912"/>
      </c:barChart>
      <c:lineChart>
        <c:grouping val="standard"/>
        <c:varyColors val="0"/>
        <c:ser>
          <c:idx val="4"/>
          <c:order val="4"/>
          <c:tx>
            <c:strRef>
              <c:f>Verktøy!$T$26</c:f>
              <c:strCache>
                <c:ptCount val="1"/>
                <c:pt idx="0">
                  <c:v>SUM</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Verktøy!$O$27:$O$34</c15:sqref>
                  </c15:fullRef>
                </c:ext>
              </c:extLst>
              <c:f>Verktøy!$O$27:$O$33</c:f>
              <c:strCache>
                <c:ptCount val="7"/>
                <c:pt idx="0">
                  <c:v>21 Grunn og fundamenter</c:v>
                </c:pt>
                <c:pt idx="1">
                  <c:v>22 Bæresystemer</c:v>
                </c:pt>
                <c:pt idx="2">
                  <c:v>23 Yttervegger</c:v>
                </c:pt>
                <c:pt idx="3">
                  <c:v>24 Innervegger</c:v>
                </c:pt>
                <c:pt idx="4">
                  <c:v>25 Dekker</c:v>
                </c:pt>
                <c:pt idx="5">
                  <c:v>26 Yttertak</c:v>
                </c:pt>
                <c:pt idx="6">
                  <c:v>28 Trapper og balkonger</c:v>
                </c:pt>
              </c:strCache>
            </c:strRef>
          </c:cat>
          <c:val>
            <c:numRef>
              <c:extLst>
                <c:ext xmlns:c15="http://schemas.microsoft.com/office/drawing/2012/chart" uri="{02D57815-91ED-43cb-92C2-25804820EDAC}">
                  <c15:fullRef>
                    <c15:sqref>Verktøy!$T$27:$T$34</c15:sqref>
                  </c15:fullRef>
                </c:ext>
              </c:extLst>
              <c:f>Verktøy!$T$27:$T$33</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4-AD5C-4675-973A-C6F2245DA9D8}"/>
            </c:ext>
          </c:extLst>
        </c:ser>
        <c:dLbls>
          <c:showLegendKey val="0"/>
          <c:showVal val="0"/>
          <c:showCatName val="0"/>
          <c:showSerName val="0"/>
          <c:showPercent val="0"/>
          <c:showBubbleSize val="0"/>
        </c:dLbls>
        <c:marker val="1"/>
        <c:smooth val="0"/>
        <c:axId val="1368260496"/>
        <c:axId val="1368260912"/>
      </c:lineChart>
      <c:catAx>
        <c:axId val="136826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68260912"/>
        <c:crosses val="autoZero"/>
        <c:auto val="1"/>
        <c:lblAlgn val="ctr"/>
        <c:lblOffset val="100"/>
        <c:noMultiLvlLbl val="0"/>
      </c:catAx>
      <c:valAx>
        <c:axId val="1368260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tonn CO2ekv. over 50 år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68260496"/>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series layoutId="waterfall" uniqueId="{42B42127-DC8D-43A3-8433-FC9424E49AFC}">
          <cx:tx>
            <cx:txData>
              <cx:f/>
              <cx:v/>
            </cx:txData>
          </cx:tx>
          <cx:spPr>
            <a:solidFill>
              <a:schemeClr val="accent5">
                <a:lumMod val="20000"/>
                <a:lumOff val="80000"/>
              </a:schemeClr>
            </a:solidFill>
          </cx:spPr>
          <cx:dataPt idx="0">
            <cx:spPr>
              <a:solidFill>
                <a:srgbClr val="5B9BD5"/>
              </a:solidFill>
            </cx:spPr>
          </cx:dataPt>
          <cx:dataPt idx="5">
            <cx:spPr>
              <a:solidFill>
                <a:srgbClr val="5B9BD5">
                  <a:lumMod val="60000"/>
                  <a:lumOff val="40000"/>
                </a:srgbClr>
              </a:solidFill>
            </cx:spPr>
          </cx:dataPt>
          <cx:dataId val="0"/>
          <cx:layoutPr>
            <cx:visibility connectorLines="0"/>
            <cx:subtotals/>
          </cx:layoutPr>
        </cx:series>
      </cx:plotAreaRegion>
      <cx:axis id="0">
        <cx:catScaling gapWidth="0.5"/>
        <cx:tickLabels/>
      </cx:axis>
      <cx:axis id="1" hidden="1">
        <cx:valScaling/>
        <cx:tickLabels/>
      </cx:axis>
    </cx:plotArea>
  </cx:chart>
  <cx:spPr>
    <a:ln>
      <a:solidFill>
        <a:schemeClr val="bg2"/>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_xlchart.v1.0</cx:f>
      </cx:strDim>
      <cx:numDim type="val">
        <cx:f dir="row">_xlchart.v1.1</cx:f>
      </cx:numDim>
    </cx:data>
  </cx:chartData>
  <cx:chart>
    <cx:title pos="t" align="ctr" overlay="0">
      <cx:tx>
        <cx:txData>
          <cx:v>Utslippsramme for gjeldende reduksjonsnivå</cx:v>
        </cx:txData>
      </cx:tx>
      <cx:txPr>
        <a:bodyPr spcFirstLastPara="1" vertOverflow="ellipsis" horzOverflow="overflow" wrap="square" lIns="0" tIns="0" rIns="0" bIns="0" anchor="ctr" anchorCtr="1"/>
        <a:lstStyle/>
        <a:p>
          <a:pPr algn="ctr" rtl="0">
            <a:defRPr/>
          </a:pPr>
          <a:r>
            <a:rPr lang="nb-NO" sz="1400" b="0" i="0" u="none" strike="noStrike" baseline="0">
              <a:solidFill>
                <a:sysClr val="windowText" lastClr="000000">
                  <a:lumMod val="65000"/>
                  <a:lumOff val="35000"/>
                </a:sysClr>
              </a:solidFill>
              <a:latin typeface="Calibri" panose="020F0502020204030204"/>
            </a:rPr>
            <a:t>Utslippsramme for gjeldende reduksjonsnivå</a:t>
          </a:r>
        </a:p>
      </cx:txPr>
    </cx:title>
    <cx:plotArea>
      <cx:plotAreaRegion>
        <cx:series layoutId="waterfall" uniqueId="{B3865A47-4E45-42CB-BF30-6DED50A2ADCA}" formatIdx="0">
          <cx:dataLabels pos="outEnd">
            <cx:visibility seriesName="0" categoryName="0" value="1"/>
          </cx:dataLabels>
          <cx:dataId val="0"/>
          <cx:layoutPr>
            <cx:subtotals/>
          </cx:layoutPr>
        </cx:series>
      </cx:plotAreaRegion>
      <cx:axis id="0">
        <cx:catScaling gapWidth="0.5"/>
        <cx:tickLabels/>
      </cx:axis>
      <cx:axis id="1">
        <cx:valScaling/>
        <cx:title>
          <cx:tx>
            <cx:rich>
              <a:bodyPr spcFirstLastPara="1" vertOverflow="ellipsis" horzOverflow="overflow" wrap="square" lIns="0" tIns="0" rIns="0" bIns="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900" b="0" i="0" u="none" strike="noStrike"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kg CO</a:t>
                </a:r>
                <a:r>
                  <a:rPr lang="en-US" sz="900" b="0" i="0" u="none" strike="noStrike" baseline="-2500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2</a:t>
                </a:r>
                <a:r>
                  <a:rPr lang="en-US" sz="900" b="0" i="0" u="none" strike="noStrike"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-ekv./m</a:t>
                </a:r>
                <a:r>
                  <a:rPr lang="en-US" sz="900" b="0" i="0" u="none" strike="noStrike" baseline="3000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2 </a:t>
                </a:r>
                <a:r>
                  <a:rPr lang="en-US" sz="900" b="0" i="0" u="none" strike="noStrike"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BTA </a:t>
                </a:r>
                <a:endParaRPr lang="nb-NO">
                  <a:effectLst/>
                </a:endParaRPr>
              </a:p>
            </cx:rich>
          </cx:tx>
        </cx:title>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14/relationships/chartEx" Target="../charts/chartEx2.xml"/><Relationship Id="rId2" Type="http://schemas.openxmlformats.org/officeDocument/2006/relationships/chart" Target="../charts/chart1.xml"/><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1" Type="http://schemas.openxmlformats.org/officeDocument/2006/relationships/hyperlink" Target="https://byggogbevar.no/media/paclhfnv/klimavennlige-byggematerialer-potensial-for-utslippskutt-og-barrierer-mot-bruk16102020.pdf"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2175</xdr:rowOff>
    </xdr:from>
    <xdr:to>
      <xdr:col>15</xdr:col>
      <xdr:colOff>0</xdr:colOff>
      <xdr:row>28</xdr:row>
      <xdr:rowOff>9525</xdr:rowOff>
    </xdr:to>
    <xdr:sp macro="" textlink="">
      <xdr:nvSpPr>
        <xdr:cNvPr id="3" name="TekstSylinder 1">
          <a:extLst>
            <a:ext uri="{FF2B5EF4-FFF2-40B4-BE49-F238E27FC236}">
              <a16:creationId xmlns:a16="http://schemas.microsoft.com/office/drawing/2014/main" id="{06B39A79-B5B6-422E-A11C-B783AE7A9AB2}"/>
            </a:ext>
          </a:extLst>
        </xdr:cNvPr>
        <xdr:cNvSpPr txBox="1"/>
      </xdr:nvSpPr>
      <xdr:spPr>
        <a:xfrm>
          <a:off x="628650" y="364125"/>
          <a:ext cx="8801100" cy="10427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t>Om verktøyet</a:t>
          </a:r>
        </a:p>
        <a:p>
          <a:r>
            <a:rPr lang="nb-NO" sz="1100"/>
            <a:t>Dette verktøyet brukes til å beregne </a:t>
          </a:r>
          <a:r>
            <a:rPr lang="nb-NO" sz="1100" b="1"/>
            <a:t>referansenivåer</a:t>
          </a:r>
          <a:r>
            <a:rPr lang="nb-NO" sz="1100"/>
            <a:t> for et byggeprosjekt. Referansenivåene er basert på utredning av mulig klimakrav i TEK17 </a:t>
          </a:r>
          <a:r>
            <a:rPr lang="nb-NO" sz="1100" b="0" baseline="30000">
              <a:solidFill>
                <a:schemeClr val="dk1"/>
              </a:solidFill>
              <a:effectLst/>
              <a:latin typeface="+mn-lt"/>
              <a:ea typeface="+mn-ea"/>
              <a:cs typeface="+mn-cs"/>
            </a:rPr>
            <a:t>1) </a:t>
          </a:r>
          <a:r>
            <a:rPr lang="nb-NO" sz="1100"/>
            <a:t> (2025) og </a:t>
          </a:r>
          <a:r>
            <a:rPr lang="nb-NO" sz="1100" baseline="0"/>
            <a:t>er utarbeidet i henhold til krav i TEK17 §17.</a:t>
          </a:r>
          <a:r>
            <a:rPr lang="nb-NO" sz="1100"/>
            <a:t> Referansenivåene fungerer som benchmark-verdier som prosjektene</a:t>
          </a:r>
          <a:r>
            <a:rPr lang="nb-NO" sz="1100" baseline="0"/>
            <a:t> kan måle seg mot. Referansenivåene er fastsatt per bygningskategori og BTA, og endres kun med disse parameterne. Dette skiller referansenivåene fra referansebygg som i større grad avhenger av byggets geometri. Verktøyet er altså ikke en referansebygg-generator, men et referansenivå-generator med tilhørende anbefalte utslippsrammer.</a:t>
          </a:r>
        </a:p>
        <a:p>
          <a:endParaRPr lang="nb-NO" sz="1100"/>
        </a:p>
        <a:p>
          <a:r>
            <a:rPr lang="nb-NO" sz="1100" b="1"/>
            <a:t>Under beskrives</a:t>
          </a:r>
          <a:r>
            <a:rPr lang="nb-NO" sz="1100" b="1" baseline="0"/>
            <a:t> hva som finnes i de ulike fanene:</a:t>
          </a:r>
        </a:p>
        <a:p>
          <a:endParaRPr lang="nb-NO" sz="1100" baseline="0"/>
        </a:p>
        <a:p>
          <a:r>
            <a:rPr lang="nb-NO" sz="1200" b="1" baseline="0"/>
            <a:t>Verktøy</a:t>
          </a:r>
        </a:p>
        <a:p>
          <a:r>
            <a:rPr lang="nb-NO" sz="1100" b="0" baseline="0"/>
            <a:t>I denne fanen beregnes referansenivå og anbefalte utslippsrammer for prosjektet, basert på innfylling av inndata. Dette er den eneste fanen som trengs for å få ut resulterende utslippsrammer. Resterende faner dokumenterer bakgrunnen for beregningene.</a:t>
          </a:r>
        </a:p>
        <a:p>
          <a:endParaRPr lang="nb-NO" sz="1100" b="0" baseline="0"/>
        </a:p>
        <a:p>
          <a:r>
            <a:rPr lang="nb-NO" sz="1200" b="1" baseline="0"/>
            <a:t>Detaljerte resultater</a:t>
          </a:r>
        </a:p>
        <a:p>
          <a:r>
            <a:rPr lang="nb-NO" sz="1100" b="0" baseline="0"/>
            <a:t>Denne arkfanen viser resultatene oppdelt for bygningskategori og kjeller (uoppvarmet og oppvarmet), dersom kjeller er inkludert.</a:t>
          </a:r>
        </a:p>
        <a:p>
          <a:endParaRPr lang="nb-NO" sz="1100" b="0" baseline="0"/>
        </a:p>
        <a:p>
          <a:r>
            <a:rPr lang="nb-NO" sz="1200" b="1" baseline="0"/>
            <a:t>Utslippstall modellbygg</a:t>
          </a:r>
        </a:p>
        <a:p>
          <a:r>
            <a:rPr lang="nb-NO" sz="1100" b="0" baseline="0"/>
            <a:t>Her ligger tabellene for referansenivåer per m2 BTA for ulike bygningskategorier. Disse benyttes i verktøyet til å sette sammen utslippsramme for prosjektet, basert på bygningskategori, bruttoareal og kjellerareal. Referansenivåene er beregnet på bakgrunn av modellbygg for de ulike bygningskategoriene, som skal representere nøkterne, skoeskeformede bygg med standard løsnings- og materialvalg i dagens marked. Disse løsnings- og materialvalgene er basert på Bygganalyses modellbygg som ligger til grunn for både Isy Calcus og referansebyggmodulen i One Click LCA, og er i tillegg gjennomgått kvalitetssikring av fagpersoner gjennom Enova-utredningen</a:t>
          </a:r>
          <a:r>
            <a:rPr lang="nb-NO" sz="1100" b="0" baseline="30000">
              <a:solidFill>
                <a:schemeClr val="dk1"/>
              </a:solidFill>
              <a:effectLst/>
              <a:latin typeface="+mn-lt"/>
              <a:ea typeface="+mn-ea"/>
              <a:cs typeface="+mn-cs"/>
            </a:rPr>
            <a:t>3) </a:t>
          </a:r>
          <a:r>
            <a:rPr lang="nb-NO" sz="1100" b="0" baseline="0"/>
            <a:t>. </a:t>
          </a:r>
        </a:p>
        <a:p>
          <a:pPr eaLnBrk="1" fontAlgn="auto" latinLnBrk="0" hangingPunct="1"/>
          <a:r>
            <a:rPr lang="nb-NO" sz="1100" baseline="0">
              <a:solidFill>
                <a:schemeClr val="dk1"/>
              </a:solidFill>
              <a:effectLst/>
              <a:latin typeface="+mn-lt"/>
              <a:ea typeface="+mn-ea"/>
              <a:cs typeface="+mn-cs"/>
            </a:rPr>
            <a:t>Forutsetningene og metodikken bak referansenivåene og utslippsrammene er beskrevet i dokumenter tilgjengelig på DFØ's sider</a:t>
          </a:r>
          <a:r>
            <a:rPr lang="nb-NO" sz="1100" b="0" baseline="30000">
              <a:solidFill>
                <a:schemeClr val="dk1"/>
              </a:solidFill>
              <a:effectLst/>
              <a:latin typeface="+mn-lt"/>
              <a:ea typeface="+mn-ea"/>
              <a:cs typeface="+mn-cs"/>
            </a:rPr>
            <a:t>2) </a:t>
          </a:r>
          <a:r>
            <a:rPr lang="nb-NO" sz="1100" baseline="0">
              <a:solidFill>
                <a:schemeClr val="dk1"/>
              </a:solidFill>
              <a:effectLst/>
              <a:latin typeface="+mn-lt"/>
              <a:ea typeface="+mn-ea"/>
              <a:cs typeface="+mn-cs"/>
            </a:rPr>
            <a:t>, i utredning om mulig klimakrav i TEK17 </a:t>
          </a:r>
          <a:r>
            <a:rPr lang="nb-NO" sz="1100" b="0" baseline="30000">
              <a:solidFill>
                <a:schemeClr val="dk1"/>
              </a:solidFill>
              <a:effectLst/>
              <a:latin typeface="+mn-lt"/>
              <a:ea typeface="+mn-ea"/>
              <a:cs typeface="+mn-cs"/>
            </a:rPr>
            <a:t>1) </a:t>
          </a:r>
          <a:r>
            <a:rPr lang="nb-NO" sz="1100" baseline="0">
              <a:solidFill>
                <a:schemeClr val="dk1"/>
              </a:solidFill>
              <a:effectLst/>
              <a:latin typeface="+mn-lt"/>
              <a:ea typeface="+mn-ea"/>
              <a:cs typeface="+mn-cs"/>
            </a:rPr>
            <a:t> og i Enova-rapporten "Klimavennlig byggematerialer"</a:t>
          </a:r>
          <a:r>
            <a:rPr lang="nb-NO" sz="1100" b="0" baseline="30000">
              <a:solidFill>
                <a:schemeClr val="dk1"/>
              </a:solidFill>
              <a:effectLst/>
              <a:latin typeface="+mn-lt"/>
              <a:ea typeface="+mn-ea"/>
              <a:cs typeface="+mn-cs"/>
            </a:rPr>
            <a:t>3) </a:t>
          </a:r>
          <a:r>
            <a:rPr lang="nb-NO" sz="1100" b="0" baseline="0">
              <a:solidFill>
                <a:schemeClr val="dk1"/>
              </a:solidFill>
              <a:effectLst/>
              <a:latin typeface="+mn-lt"/>
              <a:ea typeface="+mn-ea"/>
              <a:cs typeface="+mn-cs"/>
            </a:rPr>
            <a:t>.</a:t>
          </a:r>
          <a:endParaRPr lang="nb-NO">
            <a:effectLst/>
          </a:endParaRPr>
        </a:p>
        <a:p>
          <a:endParaRPr lang="nb-NO" sz="1100" b="0" baseline="0"/>
        </a:p>
        <a:p>
          <a:pPr marL="0" indent="0"/>
          <a:r>
            <a:rPr lang="nb-NO" sz="1200" b="1" baseline="0">
              <a:solidFill>
                <a:schemeClr val="dk1"/>
              </a:solidFill>
              <a:latin typeface="+mn-lt"/>
              <a:ea typeface="+mn-ea"/>
              <a:cs typeface="+mn-cs"/>
            </a:rPr>
            <a:t>Modellbygg og utslippsfaktorer</a:t>
          </a:r>
        </a:p>
        <a:p>
          <a:r>
            <a:rPr lang="nb-NO" sz="1100" b="0" baseline="0"/>
            <a:t>I denne fanen vises hvilke utslippsfaktorer som er benyttet for de ulike materialene som inngår i modellbyggene som referansenivåene er bygget på. I tillegg vises en tabell over størrelsen på de opprinnelige modellbyggene som er benyttet for å generere referansenivåene. </a:t>
          </a:r>
        </a:p>
        <a:p>
          <a:endParaRPr lang="nb-NO" sz="1100" b="0" baseline="0"/>
        </a:p>
        <a:p>
          <a:pPr marL="0" indent="0"/>
          <a:r>
            <a:rPr lang="nb-NO" sz="1200" b="1" baseline="0">
              <a:solidFill>
                <a:schemeClr val="dk1"/>
              </a:solidFill>
              <a:latin typeface="+mn-lt"/>
              <a:ea typeface="+mn-ea"/>
              <a:cs typeface="+mn-cs"/>
            </a:rPr>
            <a:t>Løsningsvalg modellbygg</a:t>
          </a:r>
        </a:p>
        <a:p>
          <a:r>
            <a:rPr lang="nb-NO" sz="1100" b="0" baseline="0"/>
            <a:t>Denne fanen viser tabeller for løsnings- og materialvalg for modellbyggene. </a:t>
          </a:r>
        </a:p>
        <a:p>
          <a:endParaRPr lang="nb-NO" sz="1100" b="0" baseline="0"/>
        </a:p>
        <a:p>
          <a:r>
            <a:rPr lang="nb-NO" sz="1100" b="0" baseline="0"/>
            <a:t>Dersom du er usikker på hvilken bygningskategori som best representerer ditt prosjekt, kan det være lurt å ta en titt på denne fanen.</a:t>
          </a:r>
        </a:p>
        <a:p>
          <a:endParaRPr lang="nb-NO" sz="1100" b="0" baseline="0"/>
        </a:p>
        <a:p>
          <a:r>
            <a:rPr lang="nb-NO" sz="1200" b="1" baseline="0"/>
            <a:t>Ulike krav og sertifiseringer </a:t>
          </a:r>
        </a:p>
        <a:p>
          <a:r>
            <a:rPr lang="nb-NO" sz="1100" b="0" baseline="0"/>
            <a:t>Denne fanen inneholder en oversikt over hvilke bygningsdeler og livsløpsmoduler som er med i ulike verktøy, krav, manualer og sertifiseringer. Hensikten med denne oversikten er å informere brukeren om relevante forskjeller i systemgrenser i de ulike kravene/sertifiseringene.</a:t>
          </a:r>
        </a:p>
        <a:p>
          <a:endParaRPr lang="nb-NO" sz="1100" b="0" baseline="0"/>
        </a:p>
        <a:p>
          <a:r>
            <a:rPr lang="nb-NO" sz="1200" b="1" baseline="0"/>
            <a:t>Definisjon av BTA, BRA og BYA</a:t>
          </a:r>
        </a:p>
        <a:p>
          <a:r>
            <a:rPr lang="nb-NO" sz="1100" b="0" baseline="0"/>
            <a:t>Forklarer hvordan arealene regnes ut, og hvordan de brukes i beregningene.</a:t>
          </a:r>
        </a:p>
        <a:p>
          <a:endParaRPr lang="nb-NO" sz="1100" b="0" baseline="0"/>
        </a:p>
        <a:p>
          <a:endParaRPr lang="nb-NO" sz="1100" b="0" baseline="0"/>
        </a:p>
        <a:p>
          <a:r>
            <a:rPr lang="nb-NO" sz="1100" b="0" baseline="30000"/>
            <a:t>1) </a:t>
          </a:r>
          <a:r>
            <a:rPr lang="nb-NO" sz="1100">
              <a:solidFill>
                <a:schemeClr val="dk1"/>
              </a:solidFill>
              <a:effectLst/>
              <a:latin typeface="+mn-lt"/>
              <a:ea typeface="+mn-ea"/>
              <a:cs typeface="+mn-cs"/>
            </a:rPr>
            <a:t>Klimakrav i TEK17. Utredning av et mulig klimakrav og hvordan kravet</a:t>
          </a:r>
          <a:r>
            <a:rPr lang="nb-NO" sz="1100" baseline="0">
              <a:solidFill>
                <a:schemeClr val="dk1"/>
              </a:solidFill>
              <a:effectLst/>
              <a:latin typeface="+mn-lt"/>
              <a:ea typeface="+mn-ea"/>
              <a:cs typeface="+mn-cs"/>
            </a:rPr>
            <a:t> kan utformes. Asplan Viak, 2025 </a:t>
          </a:r>
          <a:br>
            <a:rPr lang="nb-NO" sz="1100" baseline="0">
              <a:solidFill>
                <a:schemeClr val="dk1"/>
              </a:solidFill>
              <a:effectLst/>
              <a:latin typeface="+mn-lt"/>
              <a:ea typeface="+mn-ea"/>
              <a:cs typeface="+mn-cs"/>
            </a:rPr>
          </a:br>
          <a:r>
            <a:rPr lang="nb-NO" sz="1100" u="sng" baseline="0">
              <a:solidFill>
                <a:srgbClr val="0070C0"/>
              </a:solidFill>
              <a:effectLst/>
              <a:latin typeface="+mn-lt"/>
              <a:ea typeface="+mn-ea"/>
              <a:cs typeface="+mn-cs"/>
            </a:rPr>
            <a:t>https://www.dibk.no/verktoy-og-veivisere/rapporter-og-publikasjoner/klimakrav-i-tek17-utredning-av-et-mulig-klimakrav-og-hvordan-kravet-kan-utformes/Klimakrav%20i%20TEK17%20%20utredning%20av%20et%20mulig%20klimakrav%20og%20hvordan%20kravet%20kan%20utformes.%20Asplan%20Viak%202025.pdf</a:t>
          </a:r>
        </a:p>
        <a:p>
          <a:r>
            <a:rPr lang="nb-NO" sz="1100" b="0" baseline="30000">
              <a:solidFill>
                <a:schemeClr val="dk1"/>
              </a:solidFill>
              <a:effectLst/>
              <a:latin typeface="+mn-lt"/>
              <a:ea typeface="+mn-ea"/>
              <a:cs typeface="+mn-cs"/>
            </a:rPr>
            <a:t>2) </a:t>
          </a:r>
          <a:r>
            <a:rPr lang="nb-NO" sz="1100">
              <a:solidFill>
                <a:schemeClr val="dk1"/>
              </a:solidFill>
              <a:effectLst/>
              <a:latin typeface="+mn-lt"/>
              <a:ea typeface="+mn-ea"/>
              <a:cs typeface="+mn-cs"/>
            </a:rPr>
            <a:t> Klimgassutslipp</a:t>
          </a:r>
          <a:r>
            <a:rPr lang="nb-NO" sz="1100" baseline="0">
              <a:solidFill>
                <a:schemeClr val="dk1"/>
              </a:solidFill>
              <a:effectLst/>
              <a:latin typeface="+mn-lt"/>
              <a:ea typeface="+mn-ea"/>
              <a:cs typeface="+mn-cs"/>
            </a:rPr>
            <a:t> for bygg. DFØ. </a:t>
          </a:r>
          <a:r>
            <a:rPr lang="nb-NO" sz="1100">
              <a:solidFill>
                <a:schemeClr val="dk1"/>
              </a:solidFill>
              <a:effectLst/>
              <a:latin typeface="+mn-lt"/>
              <a:ea typeface="+mn-ea"/>
              <a:cs typeface="+mn-cs"/>
              <a:hlinkClick xmlns:r="http://schemas.openxmlformats.org/officeDocument/2006/relationships" r:id=""/>
            </a:rPr>
            <a:t>https://www.anskaffelser.no/nn/verktoy/analyseverktoy/klimagassutslipp-bygg</a:t>
          </a:r>
          <a:endParaRPr lang="nb-NO" sz="1100">
            <a:solidFill>
              <a:schemeClr val="dk1"/>
            </a:solidFill>
            <a:effectLst/>
            <a:latin typeface="+mn-lt"/>
            <a:ea typeface="+mn-ea"/>
            <a:cs typeface="+mn-cs"/>
          </a:endParaRPr>
        </a:p>
        <a:p>
          <a:r>
            <a:rPr lang="nb-NO" sz="1100" b="0" baseline="30000">
              <a:solidFill>
                <a:schemeClr val="dk1"/>
              </a:solidFill>
              <a:effectLst/>
              <a:latin typeface="+mn-lt"/>
              <a:ea typeface="+mn-ea"/>
              <a:cs typeface="+mn-cs"/>
            </a:rPr>
            <a:t>3) </a:t>
          </a:r>
          <a:r>
            <a:rPr lang="nb-NO" sz="1100">
              <a:solidFill>
                <a:schemeClr val="dk1"/>
              </a:solidFill>
              <a:effectLst/>
              <a:latin typeface="+mn-lt"/>
              <a:ea typeface="+mn-ea"/>
              <a:cs typeface="+mn-cs"/>
            </a:rPr>
            <a:t> Klimavennlig</a:t>
          </a:r>
          <a:r>
            <a:rPr lang="nb-NO" sz="1100" baseline="0">
              <a:solidFill>
                <a:schemeClr val="dk1"/>
              </a:solidFill>
              <a:effectLst/>
              <a:latin typeface="+mn-lt"/>
              <a:ea typeface="+mn-ea"/>
              <a:cs typeface="+mn-cs"/>
            </a:rPr>
            <a:t> byggematerialer. Enova, 2020. </a:t>
          </a:r>
          <a:r>
            <a:rPr lang="nb-NO" sz="1100" u="sng">
              <a:solidFill>
                <a:schemeClr val="accent1"/>
              </a:solidFill>
              <a:effectLst/>
              <a:latin typeface="+mn-lt"/>
              <a:ea typeface="+mn-ea"/>
              <a:cs typeface="+mn-cs"/>
            </a:rPr>
            <a:t>https://byggogbevar.no/media/paclhfnv/klimavennlige-byggematerialer-potensial-for-utslippskutt-og-barrierer-mot-bruk16102020.pdf </a:t>
          </a:r>
        </a:p>
      </xdr:txBody>
    </xdr:sp>
    <xdr:clientData/>
  </xdr:twoCellAnchor>
  <xdr:twoCellAnchor editAs="oneCell">
    <xdr:from>
      <xdr:col>16</xdr:col>
      <xdr:colOff>161925</xdr:colOff>
      <xdr:row>2</xdr:row>
      <xdr:rowOff>171450</xdr:rowOff>
    </xdr:from>
    <xdr:to>
      <xdr:col>17</xdr:col>
      <xdr:colOff>1162050</xdr:colOff>
      <xdr:row>6</xdr:row>
      <xdr:rowOff>155696</xdr:rowOff>
    </xdr:to>
    <xdr:pic>
      <xdr:nvPicPr>
        <xdr:cNvPr id="4" name="Bilde 2">
          <a:extLst>
            <a:ext uri="{FF2B5EF4-FFF2-40B4-BE49-F238E27FC236}">
              <a16:creationId xmlns:a16="http://schemas.microsoft.com/office/drawing/2014/main" id="{24A6EBED-046B-4BE0-8352-825E170C45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525" y="552450"/>
          <a:ext cx="2676525" cy="746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14</xdr:row>
      <xdr:rowOff>180974</xdr:rowOff>
    </xdr:from>
    <xdr:to>
      <xdr:col>19</xdr:col>
      <xdr:colOff>371475</xdr:colOff>
      <xdr:row>21</xdr:row>
      <xdr:rowOff>19050</xdr:rowOff>
    </xdr:to>
    <xdr:sp macro="" textlink="">
      <xdr:nvSpPr>
        <xdr:cNvPr id="2" name="TekstSylinder 1">
          <a:extLst>
            <a:ext uri="{FF2B5EF4-FFF2-40B4-BE49-F238E27FC236}">
              <a16:creationId xmlns:a16="http://schemas.microsoft.com/office/drawing/2014/main" id="{7B245D71-3151-48BE-8885-6953EC55E5D5}"/>
            </a:ext>
          </a:extLst>
        </xdr:cNvPr>
        <xdr:cNvSpPr txBox="1"/>
      </xdr:nvSpPr>
      <xdr:spPr>
        <a:xfrm>
          <a:off x="9715500" y="2257424"/>
          <a:ext cx="7248525" cy="115252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Forklaring: </a:t>
          </a:r>
          <a:r>
            <a:rPr lang="nb-NO" sz="1100" b="0"/>
            <a:t>Informasjon om prosjektet fylles</a:t>
          </a:r>
          <a:r>
            <a:rPr lang="nb-NO" sz="1100" b="0" baseline="0"/>
            <a:t> inn i inndata-tabellen over. </a:t>
          </a:r>
          <a:r>
            <a:rPr lang="nb-NO" sz="1100"/>
            <a:t>Bygningskategori velges fra nedtrekksmeny,</a:t>
          </a:r>
          <a:r>
            <a:rPr lang="nb-NO" sz="1100" baseline="0"/>
            <a:t> </a:t>
          </a:r>
          <a:r>
            <a:rPr lang="nb-NO" sz="1100"/>
            <a:t>og parametere fylles ut i de hvite cellene. De grå feltene er valgfrie</a:t>
          </a:r>
          <a:r>
            <a:rPr lang="nb-NO" sz="1100" baseline="0"/>
            <a:t> å fylle ut. Kommentarfeltet kan være nyttig for å dokumentere hvilke forutsetninger som gjelder for de ulike parameterne.</a:t>
          </a:r>
          <a:br>
            <a:rPr lang="nb-NO" sz="1100"/>
          </a:br>
          <a:endParaRPr lang="nb-NO" sz="1100"/>
        </a:p>
        <a:p>
          <a:r>
            <a:rPr lang="nb-NO" sz="1100"/>
            <a:t>Under vises beregnet</a:t>
          </a:r>
          <a:r>
            <a:rPr lang="nb-NO" sz="1100" baseline="0"/>
            <a:t> referansenivå for klimagassutslipp for prosjektet, og deretter utslippsramme basert på ønsket reduksjonsnivå</a:t>
          </a:r>
          <a:br>
            <a:rPr lang="nb-NO" sz="1100"/>
          </a:br>
          <a:endParaRPr lang="nb-NO" sz="1100"/>
        </a:p>
      </xdr:txBody>
    </xdr:sp>
    <xdr:clientData/>
  </xdr:twoCellAnchor>
  <xdr:twoCellAnchor>
    <xdr:from>
      <xdr:col>0</xdr:col>
      <xdr:colOff>247649</xdr:colOff>
      <xdr:row>30</xdr:row>
      <xdr:rowOff>104775</xdr:rowOff>
    </xdr:from>
    <xdr:to>
      <xdr:col>7</xdr:col>
      <xdr:colOff>9524</xdr:colOff>
      <xdr:row>42</xdr:row>
      <xdr:rowOff>114300</xdr:rowOff>
    </xdr:to>
    <xdr:sp macro="" textlink="">
      <xdr:nvSpPr>
        <xdr:cNvPr id="3" name="TekstSylinder 5">
          <a:extLst>
            <a:ext uri="{FF2B5EF4-FFF2-40B4-BE49-F238E27FC236}">
              <a16:creationId xmlns:a16="http://schemas.microsoft.com/office/drawing/2014/main" id="{8C77A02C-663C-4CD5-B79B-5F1FCE2524C7}"/>
            </a:ext>
          </a:extLst>
        </xdr:cNvPr>
        <xdr:cNvSpPr txBox="1"/>
      </xdr:nvSpPr>
      <xdr:spPr>
        <a:xfrm>
          <a:off x="247649" y="4608195"/>
          <a:ext cx="7267575" cy="13201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Hva er egentlig referanseutslippet? </a:t>
          </a:r>
          <a:r>
            <a:rPr lang="nb-NO" sz="1100"/>
            <a:t>Referanseutslippet reflekterer "benchmarkverdier" prosjektene kan måle seg mot. Referansen tilsvarer enkle bygg med TEK17-standard og nøktern materialbruk, bygget med standard løsningsvalg og materialer for dagens marked.  </a:t>
          </a:r>
        </a:p>
        <a:p>
          <a:endParaRPr lang="nb-NO" sz="1100"/>
        </a:p>
        <a:p>
          <a:r>
            <a:rPr lang="nb-NO" sz="1100" b="1"/>
            <a:t>MERK: </a:t>
          </a:r>
          <a:r>
            <a:rPr lang="nb-NO" sz="1100"/>
            <a:t>Referanseutslippet er ikke et worstcase-scenario. Dersom det ikke gjøres noen tiltak for å begrense klimafotavtrykket, kan</a:t>
          </a:r>
          <a:r>
            <a:rPr lang="nb-NO" sz="1100" baseline="0"/>
            <a:t> mange bygg forventes å havne over referansenivået. Det kommer av at referansenivået gjenspeiler bygg med nøktern materialbruk.</a:t>
          </a:r>
          <a:br>
            <a:rPr lang="nb-NO" sz="1100"/>
          </a:br>
          <a:endParaRPr lang="nb-NO" sz="1100"/>
        </a:p>
      </xdr:txBody>
    </xdr:sp>
    <xdr:clientData/>
  </xdr:twoCellAnchor>
  <xdr:twoCellAnchor>
    <xdr:from>
      <xdr:col>8</xdr:col>
      <xdr:colOff>323850</xdr:colOff>
      <xdr:row>5</xdr:row>
      <xdr:rowOff>559</xdr:rowOff>
    </xdr:from>
    <xdr:to>
      <xdr:col>19</xdr:col>
      <xdr:colOff>371475</xdr:colOff>
      <xdr:row>14</xdr:row>
      <xdr:rowOff>76199</xdr:rowOff>
    </xdr:to>
    <xdr:sp macro="" textlink="">
      <xdr:nvSpPr>
        <xdr:cNvPr id="5" name="TextBox 4">
          <a:extLst>
            <a:ext uri="{FF2B5EF4-FFF2-40B4-BE49-F238E27FC236}">
              <a16:creationId xmlns:a16="http://schemas.microsoft.com/office/drawing/2014/main" id="{E8A54F60-A3CF-E12A-1EE7-B8AEF3B003AC}"/>
            </a:ext>
          </a:extLst>
        </xdr:cNvPr>
        <xdr:cNvSpPr txBox="1"/>
      </xdr:nvSpPr>
      <xdr:spPr>
        <a:xfrm>
          <a:off x="9715500" y="981634"/>
          <a:ext cx="7248525" cy="117101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TEK17 §17-1</a:t>
          </a:r>
        </a:p>
        <a:p>
          <a:r>
            <a:rPr lang="nb-NO" sz="1100"/>
            <a:t>Verktøye</a:t>
          </a:r>
          <a:r>
            <a:rPr lang="nb-NO" sz="1100" baseline="0"/>
            <a:t>t er utformet i henhold til minstekrav gitt i veilederen til TEK17 §17-1. MInstekravet til klimagassregnskap i </a:t>
          </a:r>
          <a:r>
            <a:rPr lang="nb-NO" sz="1100" baseline="0">
              <a:solidFill>
                <a:schemeClr val="dk1"/>
              </a:solidFill>
              <a:effectLst/>
              <a:latin typeface="+mn-lt"/>
              <a:ea typeface="+mn-ea"/>
              <a:cs typeface="+mn-cs"/>
            </a:rPr>
            <a:t>TEK17 §17-1</a:t>
          </a:r>
          <a:r>
            <a:rPr lang="nb-NO" sz="1100" baseline="0"/>
            <a:t> er begrenset til utslipp fra materialbruk og inkludere</a:t>
          </a:r>
          <a:r>
            <a:rPr lang="nb-NO" sz="1100" baseline="0">
              <a:solidFill>
                <a:sysClr val="windowText" lastClr="000000"/>
              </a:solidFill>
            </a:rPr>
            <a:t>r</a:t>
          </a:r>
          <a:r>
            <a:rPr lang="nb-NO" sz="1100" baseline="0"/>
            <a:t> utslipp fra bygningsdel 215 Pelefundamentering, 216 Direkte fundamentering, 22 Bæresystemer, 23 Yttervegger, 24 Innervegger, 25 Dekker og 26 Yttervegg. Klimagassberegningen bruker en beregningsperiode på 50 år. </a:t>
          </a:r>
        </a:p>
        <a:p>
          <a:endParaRPr lang="nb-NO" sz="1100" baseline="0"/>
        </a:p>
        <a:p>
          <a:endParaRPr lang="nb-NO" sz="1100" baseline="0"/>
        </a:p>
        <a:p>
          <a:r>
            <a:rPr lang="nb-NO" sz="1100" u="sng" baseline="0"/>
            <a:t>MERK! </a:t>
          </a:r>
          <a:r>
            <a:rPr lang="nb-NO" sz="1100" b="0" baseline="0"/>
            <a:t>Uts</a:t>
          </a:r>
          <a:r>
            <a:rPr lang="nb-NO" sz="1100" baseline="0"/>
            <a:t>lippsrammen </a:t>
          </a:r>
          <a:r>
            <a:rPr lang="nb-NO" sz="1100" i="1" baseline="0"/>
            <a:t>inkluderer</a:t>
          </a:r>
          <a:r>
            <a:rPr lang="nb-NO" sz="1100" baseline="0"/>
            <a:t> bygningsdel 28 Trapper og balkonger, som ikke er inkludert i minimumskravet til TEK17 §17-1. Dersom utslippsrammen inkluderer dette (antas i dette verktøyet) bør det sørges for at klimagassregnskap utført etter TEK17 §17-1 har samme systemgrense (også inkluderer bygningsdel 28).</a:t>
          </a:r>
        </a:p>
        <a:p>
          <a:endParaRPr lang="nb-NO" sz="1100" baseline="0"/>
        </a:p>
        <a:p>
          <a:endParaRPr lang="nb-NO" sz="1100"/>
        </a:p>
      </xdr:txBody>
    </xdr:sp>
    <xdr:clientData/>
  </xdr:twoCellAnchor>
  <xdr:twoCellAnchor>
    <xdr:from>
      <xdr:col>4</xdr:col>
      <xdr:colOff>215819</xdr:colOff>
      <xdr:row>52</xdr:row>
      <xdr:rowOff>42774</xdr:rowOff>
    </xdr:from>
    <xdr:to>
      <xdr:col>19</xdr:col>
      <xdr:colOff>571499</xdr:colOff>
      <xdr:row>58</xdr:row>
      <xdr:rowOff>34492</xdr:rowOff>
    </xdr:to>
    <xdr:sp macro="" textlink="">
      <xdr:nvSpPr>
        <xdr:cNvPr id="6" name="TextBox 3">
          <a:extLst>
            <a:ext uri="{FF2B5EF4-FFF2-40B4-BE49-F238E27FC236}">
              <a16:creationId xmlns:a16="http://schemas.microsoft.com/office/drawing/2014/main" id="{6EBB0BF2-3CC9-4065-A915-732221910DF3}"/>
            </a:ext>
          </a:extLst>
        </xdr:cNvPr>
        <xdr:cNvSpPr txBox="1"/>
      </xdr:nvSpPr>
      <xdr:spPr>
        <a:xfrm>
          <a:off x="5011937" y="9287627"/>
          <a:ext cx="12794209" cy="97783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Veiledende</a:t>
          </a:r>
          <a:r>
            <a:rPr lang="nb-NO" sz="1100" b="1" baseline="0"/>
            <a:t> oversikt over foreslåtte tiltak for ulike utslippsrammer</a:t>
          </a:r>
        </a:p>
        <a:p>
          <a:r>
            <a:rPr lang="nb-NO" sz="1050" i="0">
              <a:solidFill>
                <a:schemeClr val="dk1"/>
              </a:solidFill>
              <a:effectLst/>
              <a:latin typeface="+mn-lt"/>
              <a:ea typeface="+mn-ea"/>
              <a:cs typeface="+mn-cs"/>
            </a:rPr>
            <a:t>Figuren under illustrerer tiltak og erfaringsbasert reduksjonseffekt av tiltakene. Tiltak og tilhørende utslag kan kun regnes som veiledende. Byggets geometri og materialvalg, i tillegg til prosjektspesifikke forhold, vil påvirke utgangspunktet og dermed potensialet for reduksjon av klimagassutslipp. </a:t>
          </a:r>
          <a:r>
            <a:rPr lang="nb-NO" sz="1050" b="1" i="0">
              <a:solidFill>
                <a:schemeClr val="dk1"/>
              </a:solidFill>
              <a:effectLst/>
              <a:latin typeface="+mn-lt"/>
              <a:ea typeface="+mn-ea"/>
              <a:cs typeface="+mn-cs"/>
            </a:rPr>
            <a:t>MERK! </a:t>
          </a:r>
          <a:r>
            <a:rPr lang="nb-NO" sz="1050" i="0">
              <a:solidFill>
                <a:schemeClr val="dk1"/>
              </a:solidFill>
              <a:effectLst/>
              <a:latin typeface="+mn-lt"/>
              <a:ea typeface="+mn-ea"/>
              <a:cs typeface="+mn-cs"/>
            </a:rPr>
            <a:t>Ulike bygningskategorier har ulike konstruksjonsprinsipper, og derved ulikt potensiale for reduksjon i klimagassutslipp. Følgende er reduksjonspotensial som bør være mulig å oppnå ved å velge materialer som har lavt utslipp:</a:t>
          </a:r>
        </a:p>
        <a:p>
          <a:pPr lvl="0"/>
          <a:r>
            <a:rPr lang="nb-NO" sz="1050" i="1">
              <a:solidFill>
                <a:schemeClr val="dk1"/>
              </a:solidFill>
              <a:effectLst/>
              <a:latin typeface="+mn-lt"/>
              <a:ea typeface="+mn-ea"/>
              <a:cs typeface="+mn-cs"/>
            </a:rPr>
            <a:t>Kontorbygg: 20 % 	Skolebygg: 12 %	</a:t>
          </a:r>
          <a:r>
            <a:rPr lang="nb-NO" sz="1050" i="1" baseline="0">
              <a:solidFill>
                <a:schemeClr val="dk1"/>
              </a:solidFill>
              <a:effectLst/>
              <a:latin typeface="+mn-lt"/>
              <a:ea typeface="+mn-ea"/>
              <a:cs typeface="+mn-cs"/>
            </a:rPr>
            <a:t>	</a:t>
          </a:r>
          <a:r>
            <a:rPr lang="nb-NO" sz="1050" i="1">
              <a:solidFill>
                <a:schemeClr val="dk1"/>
              </a:solidFill>
              <a:effectLst/>
              <a:latin typeface="+mn-lt"/>
              <a:ea typeface="+mn-ea"/>
              <a:cs typeface="+mn-cs"/>
            </a:rPr>
            <a:t>Forretning/næringsbygg: 15 %		Boligblokk: 17 %</a:t>
          </a:r>
          <a:endParaRPr lang="nb-NO" sz="1050">
            <a:solidFill>
              <a:schemeClr val="dk1"/>
            </a:solidFill>
            <a:effectLst/>
            <a:latin typeface="+mn-lt"/>
            <a:ea typeface="+mn-ea"/>
            <a:cs typeface="+mn-cs"/>
          </a:endParaRPr>
        </a:p>
        <a:p>
          <a:pPr lvl="0"/>
          <a:r>
            <a:rPr lang="nb-NO" sz="1050" i="1">
              <a:solidFill>
                <a:schemeClr val="dk1"/>
              </a:solidFill>
              <a:effectLst/>
              <a:latin typeface="+mn-lt"/>
              <a:ea typeface="+mn-ea"/>
              <a:cs typeface="+mn-cs"/>
            </a:rPr>
            <a:t>Sykehjem: 16 %</a:t>
          </a:r>
          <a:r>
            <a:rPr lang="nb-NO" sz="1050" i="0">
              <a:solidFill>
                <a:schemeClr val="dk1"/>
              </a:solidFill>
              <a:effectLst/>
              <a:latin typeface="+mn-lt"/>
              <a:ea typeface="+mn-ea"/>
              <a:cs typeface="+mn-cs"/>
            </a:rPr>
            <a:t>		</a:t>
          </a:r>
          <a:r>
            <a:rPr lang="nb-NO" sz="1050" i="1">
              <a:solidFill>
                <a:schemeClr val="dk1"/>
              </a:solidFill>
              <a:effectLst/>
              <a:latin typeface="+mn-lt"/>
              <a:ea typeface="+mn-ea"/>
              <a:cs typeface="+mn-cs"/>
            </a:rPr>
            <a:t>Småhus: 19 %</a:t>
          </a:r>
          <a:r>
            <a:rPr lang="nb-NO" sz="1050" i="0">
              <a:solidFill>
                <a:schemeClr val="dk1"/>
              </a:solidFill>
              <a:effectLst/>
              <a:latin typeface="+mn-lt"/>
              <a:ea typeface="+mn-ea"/>
              <a:cs typeface="+mn-cs"/>
            </a:rPr>
            <a:t>		</a:t>
          </a:r>
          <a:r>
            <a:rPr lang="nb-NO" sz="1050" i="1">
              <a:solidFill>
                <a:schemeClr val="dk1"/>
              </a:solidFill>
              <a:effectLst/>
              <a:latin typeface="+mn-lt"/>
              <a:ea typeface="+mn-ea"/>
              <a:cs typeface="+mn-cs"/>
            </a:rPr>
            <a:t>Industribygg: 7 %</a:t>
          </a:r>
          <a:endParaRPr lang="nb-NO" sz="1050">
            <a:solidFill>
              <a:schemeClr val="dk1"/>
            </a:solidFill>
            <a:effectLst/>
            <a:latin typeface="+mn-lt"/>
            <a:ea typeface="+mn-ea"/>
            <a:cs typeface="+mn-cs"/>
          </a:endParaRPr>
        </a:p>
        <a:p>
          <a:endParaRPr lang="nb-NO" sz="1050" i="0">
            <a:solidFill>
              <a:schemeClr val="dk1"/>
            </a:solidFill>
            <a:effectLst/>
            <a:latin typeface="+mn-lt"/>
            <a:ea typeface="+mn-ea"/>
            <a:cs typeface="+mn-cs"/>
          </a:endParaRPr>
        </a:p>
        <a:p>
          <a:r>
            <a:rPr lang="nb-NO" sz="1050" i="0">
              <a:solidFill>
                <a:schemeClr val="dk1"/>
              </a:solidFill>
              <a:effectLst/>
              <a:latin typeface="+mn-lt"/>
              <a:ea typeface="+mn-ea"/>
              <a:cs typeface="+mn-cs"/>
            </a:rPr>
            <a:t>Ved endret konstruksjon og design kan en reduksjon på 30% til 40% være mulig å oppnå. Ved å i stor grad rehabilitere eksisterende bygg kan en reduksjon på 50% til 60% være mulig å oppnå.</a:t>
          </a:r>
        </a:p>
      </xdr:txBody>
    </xdr:sp>
    <xdr:clientData/>
  </xdr:twoCellAnchor>
  <xdr:twoCellAnchor>
    <xdr:from>
      <xdr:col>4</xdr:col>
      <xdr:colOff>207553</xdr:colOff>
      <xdr:row>46</xdr:row>
      <xdr:rowOff>4919</xdr:rowOff>
    </xdr:from>
    <xdr:to>
      <xdr:col>19</xdr:col>
      <xdr:colOff>571500</xdr:colOff>
      <xdr:row>51</xdr:row>
      <xdr:rowOff>182218</xdr:rowOff>
    </xdr:to>
    <xdr:sp macro="" textlink="">
      <xdr:nvSpPr>
        <xdr:cNvPr id="11" name="TekstSylinder 10">
          <a:extLst>
            <a:ext uri="{FF2B5EF4-FFF2-40B4-BE49-F238E27FC236}">
              <a16:creationId xmlns:a16="http://schemas.microsoft.com/office/drawing/2014/main" id="{8483B351-C59E-4F1A-89DF-784C57B044EE}"/>
            </a:ext>
          </a:extLst>
        </xdr:cNvPr>
        <xdr:cNvSpPr txBox="1"/>
      </xdr:nvSpPr>
      <xdr:spPr>
        <a:xfrm>
          <a:off x="5003671" y="8084360"/>
          <a:ext cx="12802476" cy="1152211"/>
        </a:xfrm>
        <a:prstGeom prst="rect">
          <a:avLst/>
        </a:prstGeom>
        <a:solidFill>
          <a:srgbClr val="FFF2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Grunn og fundamenter er </a:t>
          </a:r>
          <a:r>
            <a:rPr lang="nb-NO" sz="1100" b="1" u="sng"/>
            <a:t>ekskludert</a:t>
          </a:r>
          <a:r>
            <a:rPr lang="nb-NO" sz="1100" b="1"/>
            <a:t> fra utslippsrammene:</a:t>
          </a:r>
        </a:p>
        <a:p>
          <a:endParaRPr lang="nb-NO" sz="1100" b="1"/>
        </a:p>
        <a:p>
          <a:r>
            <a:rPr lang="nb-NO" sz="1100"/>
            <a:t>Utslippsrammene inkluderer </a:t>
          </a:r>
          <a:r>
            <a:rPr lang="nb-NO" sz="1100" u="sng"/>
            <a:t>ikke</a:t>
          </a:r>
          <a:r>
            <a:rPr lang="nb-NO" sz="1100"/>
            <a:t> grunn og fundamenter. Lokale </a:t>
          </a:r>
          <a:r>
            <a:rPr lang="nb-NO" sz="1100">
              <a:solidFill>
                <a:schemeClr val="dk1"/>
              </a:solidFill>
              <a:effectLst/>
              <a:latin typeface="+mn-lt"/>
              <a:ea typeface="+mn-ea"/>
              <a:cs typeface="+mn-cs"/>
            </a:rPr>
            <a:t>grunnforhold og dybde til i fjell i stor grad kan påvirke et byggs klimafotavtrykk. </a:t>
          </a:r>
          <a:r>
            <a:rPr lang="nb-NO" sz="1100"/>
            <a:t>Det er begrenset hvor mange valg man har når det kommer til løsninger og materialvalg for fundamenter. Dermed kan grunnforhold påvirke mulig reduksjon i klimagassutslipp sammenliknet mot referansen. Variasjon og usikkerhet for beregnede nivåer for utslippsrammer kan dermed bli for stor dersom grunn og fundamenter inkluderes. Det anbefales derfor å stille krav til utslippsrammer som </a:t>
          </a:r>
          <a:r>
            <a:rPr lang="nb-NO" sz="1100" i="0" u="none"/>
            <a:t>ekskluderer</a:t>
          </a:r>
          <a:r>
            <a:rPr lang="nb-NO" sz="1100"/>
            <a:t> fundamenter.</a:t>
          </a:r>
          <a:r>
            <a:rPr lang="nb-NO" sz="1100" baseline="0"/>
            <a:t> </a:t>
          </a:r>
          <a:endParaRPr lang="nb-NO" sz="1100"/>
        </a:p>
      </xdr:txBody>
    </xdr:sp>
    <xdr:clientData/>
  </xdr:twoCellAnchor>
  <xdr:twoCellAnchor>
    <xdr:from>
      <xdr:col>4</xdr:col>
      <xdr:colOff>211621</xdr:colOff>
      <xdr:row>58</xdr:row>
      <xdr:rowOff>95355</xdr:rowOff>
    </xdr:from>
    <xdr:to>
      <xdr:col>11</xdr:col>
      <xdr:colOff>604631</xdr:colOff>
      <xdr:row>75</xdr:row>
      <xdr:rowOff>173935</xdr:rowOff>
    </xdr:to>
    <mc:AlternateContent xmlns:mc="http://schemas.openxmlformats.org/markup-compatibility/2006">
      <mc:Choice xmlns:cx1="http://schemas.microsoft.com/office/drawing/2015/9/8/chartex" Requires="cx1">
        <xdr:graphicFrame macro="">
          <xdr:nvGraphicFramePr>
            <xdr:cNvPr id="39" name="Diagram 38">
              <a:extLst>
                <a:ext uri="{FF2B5EF4-FFF2-40B4-BE49-F238E27FC236}">
                  <a16:creationId xmlns:a16="http://schemas.microsoft.com/office/drawing/2014/main" id="{EF9BD3C3-AA9B-4046-8C6C-CB07EA33201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002696" y="11353905"/>
              <a:ext cx="7727260" cy="3317080"/>
            </a:xfrm>
            <a:prstGeom prst="rect">
              <a:avLst/>
            </a:prstGeom>
            <a:solidFill>
              <a:prstClr val="white"/>
            </a:solidFill>
            <a:ln w="1">
              <a:solidFill>
                <a:prstClr val="green"/>
              </a:solidFill>
            </a:ln>
          </xdr:spPr>
          <xdr:txBody>
            <a:bodyPr vertOverflow="clip" horzOverflow="clip"/>
            <a:lstStyle/>
            <a:p>
              <a:r>
                <a:rPr lang="nb-N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284239</xdr:colOff>
      <xdr:row>60</xdr:row>
      <xdr:rowOff>181222</xdr:rowOff>
    </xdr:from>
    <xdr:to>
      <xdr:col>7</xdr:col>
      <xdr:colOff>474058</xdr:colOff>
      <xdr:row>64</xdr:row>
      <xdr:rowOff>47625</xdr:rowOff>
    </xdr:to>
    <xdr:sp macro="" textlink="">
      <xdr:nvSpPr>
        <xdr:cNvPr id="40" name="TekstSylinder 39">
          <a:extLst>
            <a:ext uri="{FF2B5EF4-FFF2-40B4-BE49-F238E27FC236}">
              <a16:creationId xmlns:a16="http://schemas.microsoft.com/office/drawing/2014/main" id="{187A632E-41DF-48C2-AB2B-3333A64FADCD}"/>
            </a:ext>
          </a:extLst>
        </xdr:cNvPr>
        <xdr:cNvSpPr txBox="1"/>
      </xdr:nvSpPr>
      <xdr:spPr>
        <a:xfrm>
          <a:off x="6808864" y="11820772"/>
          <a:ext cx="1475694" cy="628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700"/>
            <a:t>+ Bæresystem</a:t>
          </a:r>
        </a:p>
        <a:p>
          <a:pPr algn="l"/>
          <a:r>
            <a:rPr lang="en-AU" sz="700"/>
            <a:t>+ Dekker</a:t>
          </a:r>
        </a:p>
        <a:p>
          <a:pPr algn="l"/>
          <a:r>
            <a:rPr lang="en-AU" sz="700"/>
            <a:t>+ Yttervegger</a:t>
          </a:r>
        </a:p>
        <a:p>
          <a:pPr algn="l"/>
          <a:r>
            <a:rPr lang="en-AU" sz="700"/>
            <a:t>+ Innervegger</a:t>
          </a:r>
        </a:p>
        <a:p>
          <a:pPr algn="l"/>
          <a:r>
            <a:rPr lang="en-AU" sz="700"/>
            <a:t>+ Yttertak</a:t>
          </a:r>
        </a:p>
        <a:p>
          <a:pPr algn="l"/>
          <a:endParaRPr lang="en-AU" sz="700"/>
        </a:p>
      </xdr:txBody>
    </xdr:sp>
    <xdr:clientData/>
  </xdr:twoCellAnchor>
  <xdr:twoCellAnchor>
    <xdr:from>
      <xdr:col>7</xdr:col>
      <xdr:colOff>472572</xdr:colOff>
      <xdr:row>63</xdr:row>
      <xdr:rowOff>136778</xdr:rowOff>
    </xdr:from>
    <xdr:to>
      <xdr:col>7</xdr:col>
      <xdr:colOff>2248778</xdr:colOff>
      <xdr:row>65</xdr:row>
      <xdr:rowOff>147680</xdr:rowOff>
    </xdr:to>
    <xdr:sp macro="" textlink="">
      <xdr:nvSpPr>
        <xdr:cNvPr id="42" name="TekstSylinder 41">
          <a:extLst>
            <a:ext uri="{FF2B5EF4-FFF2-40B4-BE49-F238E27FC236}">
              <a16:creationId xmlns:a16="http://schemas.microsoft.com/office/drawing/2014/main" id="{1B22A6C6-5B75-404A-957B-1819EB2901D2}"/>
            </a:ext>
          </a:extLst>
        </xdr:cNvPr>
        <xdr:cNvSpPr txBox="1"/>
      </xdr:nvSpPr>
      <xdr:spPr>
        <a:xfrm>
          <a:off x="8283072" y="12347828"/>
          <a:ext cx="1776206" cy="391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700"/>
            <a:t>+</a:t>
          </a:r>
          <a:r>
            <a:rPr lang="en-AU" sz="700" baseline="0"/>
            <a:t> Bæresystem og dekker i tre</a:t>
          </a:r>
          <a:endParaRPr lang="en-AU" sz="700"/>
        </a:p>
      </xdr:txBody>
    </xdr:sp>
    <xdr:clientData/>
  </xdr:twoCellAnchor>
  <xdr:twoCellAnchor>
    <xdr:from>
      <xdr:col>9</xdr:col>
      <xdr:colOff>482203</xdr:colOff>
      <xdr:row>61</xdr:row>
      <xdr:rowOff>160051</xdr:rowOff>
    </xdr:from>
    <xdr:to>
      <xdr:col>11</xdr:col>
      <xdr:colOff>267890</xdr:colOff>
      <xdr:row>66</xdr:row>
      <xdr:rowOff>85531</xdr:rowOff>
    </xdr:to>
    <xdr:sp macro="" textlink="">
      <xdr:nvSpPr>
        <xdr:cNvPr id="43" name="Rektangel 42">
          <a:extLst>
            <a:ext uri="{FF2B5EF4-FFF2-40B4-BE49-F238E27FC236}">
              <a16:creationId xmlns:a16="http://schemas.microsoft.com/office/drawing/2014/main" id="{B200F345-34E4-410C-B06F-131906DA7C59}"/>
            </a:ext>
          </a:extLst>
        </xdr:cNvPr>
        <xdr:cNvSpPr/>
      </xdr:nvSpPr>
      <xdr:spPr>
        <a:xfrm>
          <a:off x="11388328" y="11161426"/>
          <a:ext cx="1000125" cy="87798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324288</xdr:colOff>
      <xdr:row>58</xdr:row>
      <xdr:rowOff>119062</xdr:rowOff>
    </xdr:from>
    <xdr:to>
      <xdr:col>7</xdr:col>
      <xdr:colOff>1512570</xdr:colOff>
      <xdr:row>60</xdr:row>
      <xdr:rowOff>152400</xdr:rowOff>
    </xdr:to>
    <xdr:sp macro="" textlink="">
      <xdr:nvSpPr>
        <xdr:cNvPr id="44" name="TekstSylinder 11">
          <a:extLst>
            <a:ext uri="{FF2B5EF4-FFF2-40B4-BE49-F238E27FC236}">
              <a16:creationId xmlns:a16="http://schemas.microsoft.com/office/drawing/2014/main" id="{F84EAEF0-2F45-4DBB-B58B-892B4418C9EB}"/>
            </a:ext>
          </a:extLst>
        </xdr:cNvPr>
        <xdr:cNvSpPr txBox="1"/>
      </xdr:nvSpPr>
      <xdr:spPr>
        <a:xfrm>
          <a:off x="7051319" y="10795000"/>
          <a:ext cx="2507892" cy="390525"/>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900"/>
            <a:t>Lavutslippalternativer for valg av</a:t>
          </a:r>
          <a:r>
            <a:rPr lang="en-AU" sz="900" baseline="0"/>
            <a:t> produkter / systemer</a:t>
          </a:r>
          <a:endParaRPr lang="en-AU" sz="900"/>
        </a:p>
        <a:p>
          <a:pPr algn="ctr"/>
          <a:endParaRPr lang="en-AU" sz="1100"/>
        </a:p>
      </xdr:txBody>
    </xdr:sp>
    <xdr:clientData/>
  </xdr:twoCellAnchor>
  <xdr:twoCellAnchor>
    <xdr:from>
      <xdr:col>9</xdr:col>
      <xdr:colOff>552057</xdr:colOff>
      <xdr:row>62</xdr:row>
      <xdr:rowOff>158429</xdr:rowOff>
    </xdr:from>
    <xdr:to>
      <xdr:col>11</xdr:col>
      <xdr:colOff>347921</xdr:colOff>
      <xdr:row>67</xdr:row>
      <xdr:rowOff>66261</xdr:rowOff>
    </xdr:to>
    <xdr:sp macro="" textlink="">
      <xdr:nvSpPr>
        <xdr:cNvPr id="45" name="TekstSylinder 44">
          <a:extLst>
            <a:ext uri="{FF2B5EF4-FFF2-40B4-BE49-F238E27FC236}">
              <a16:creationId xmlns:a16="http://schemas.microsoft.com/office/drawing/2014/main" id="{967FF917-406E-4CE2-9624-2185346E60B2}"/>
            </a:ext>
          </a:extLst>
        </xdr:cNvPr>
        <xdr:cNvSpPr txBox="1"/>
      </xdr:nvSpPr>
      <xdr:spPr>
        <a:xfrm>
          <a:off x="11451970" y="11033494"/>
          <a:ext cx="1021690" cy="860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700"/>
            <a:t>Rehabilitering av eksisterende bygg, evt.ombruk av bærende konstruksjoner</a:t>
          </a:r>
        </a:p>
      </xdr:txBody>
    </xdr:sp>
    <xdr:clientData/>
  </xdr:twoCellAnchor>
  <xdr:twoCellAnchor>
    <xdr:from>
      <xdr:col>7</xdr:col>
      <xdr:colOff>53340</xdr:colOff>
      <xdr:row>23</xdr:row>
      <xdr:rowOff>72390</xdr:rowOff>
    </xdr:from>
    <xdr:to>
      <xdr:col>13</xdr:col>
      <xdr:colOff>182880</xdr:colOff>
      <xdr:row>42</xdr:row>
      <xdr:rowOff>106680</xdr:rowOff>
    </xdr:to>
    <xdr:graphicFrame macro="">
      <xdr:nvGraphicFramePr>
        <xdr:cNvPr id="4" name="Diagram 3">
          <a:extLst>
            <a:ext uri="{FF2B5EF4-FFF2-40B4-BE49-F238E27FC236}">
              <a16:creationId xmlns:a16="http://schemas.microsoft.com/office/drawing/2014/main" id="{02952DA6-C088-256D-D54E-95B5CF8D7E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485775</xdr:colOff>
      <xdr:row>58</xdr:row>
      <xdr:rowOff>155207</xdr:rowOff>
    </xdr:from>
    <xdr:to>
      <xdr:col>11</xdr:col>
      <xdr:colOff>257174</xdr:colOff>
      <xdr:row>60</xdr:row>
      <xdr:rowOff>142875</xdr:rowOff>
    </xdr:to>
    <xdr:sp macro="" textlink="">
      <xdr:nvSpPr>
        <xdr:cNvPr id="7" name="TekstSylinder 11">
          <a:extLst>
            <a:ext uri="{FF2B5EF4-FFF2-40B4-BE49-F238E27FC236}">
              <a16:creationId xmlns:a16="http://schemas.microsoft.com/office/drawing/2014/main" id="{EFAB3E09-7425-4E78-8F52-9C05D589D3F0}"/>
            </a:ext>
          </a:extLst>
        </xdr:cNvPr>
        <xdr:cNvSpPr txBox="1"/>
      </xdr:nvSpPr>
      <xdr:spPr>
        <a:xfrm>
          <a:off x="11391900" y="11413757"/>
          <a:ext cx="990599" cy="368668"/>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900"/>
            <a:t>Ombruk/rehab.</a:t>
          </a:r>
        </a:p>
        <a:p>
          <a:pPr algn="ctr"/>
          <a:endParaRPr lang="en-AU" sz="1100"/>
        </a:p>
      </xdr:txBody>
    </xdr:sp>
    <xdr:clientData/>
  </xdr:twoCellAnchor>
  <xdr:twoCellAnchor>
    <xdr:from>
      <xdr:col>1</xdr:col>
      <xdr:colOff>4761</xdr:colOff>
      <xdr:row>58</xdr:row>
      <xdr:rowOff>100012</xdr:rowOff>
    </xdr:from>
    <xdr:to>
      <xdr:col>4</xdr:col>
      <xdr:colOff>28574</xdr:colOff>
      <xdr:row>75</xdr:row>
      <xdr:rowOff>180976</xdr:rowOff>
    </xdr:to>
    <mc:AlternateContent xmlns:mc="http://schemas.openxmlformats.org/markup-compatibility/2006">
      <mc:Choice xmlns:cx1="http://schemas.microsoft.com/office/drawing/2015/9/8/chartex" Requires="cx1">
        <xdr:graphicFrame macro="">
          <xdr:nvGraphicFramePr>
            <xdr:cNvPr id="8" name="Diagram 7">
              <a:extLst>
                <a:ext uri="{FF2B5EF4-FFF2-40B4-BE49-F238E27FC236}">
                  <a16:creationId xmlns:a16="http://schemas.microsoft.com/office/drawing/2014/main" id="{0098D7C2-2DED-3577-3FA7-519CFDE151D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61936" y="11358562"/>
              <a:ext cx="4557713" cy="3319464"/>
            </a:xfrm>
            <a:prstGeom prst="rect">
              <a:avLst/>
            </a:prstGeom>
            <a:solidFill>
              <a:prstClr val="white"/>
            </a:solidFill>
            <a:ln w="1">
              <a:solidFill>
                <a:prstClr val="green"/>
              </a:solidFill>
            </a:ln>
          </xdr:spPr>
          <xdr:txBody>
            <a:bodyPr vertOverflow="clip" horzOverflow="clip"/>
            <a:lstStyle/>
            <a:p>
              <a:r>
                <a:rPr lang="nb-N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2007870</xdr:colOff>
      <xdr:row>64</xdr:row>
      <xdr:rowOff>140970</xdr:rowOff>
    </xdr:from>
    <xdr:to>
      <xdr:col>9</xdr:col>
      <xdr:colOff>5858</xdr:colOff>
      <xdr:row>66</xdr:row>
      <xdr:rowOff>132026</xdr:rowOff>
    </xdr:to>
    <xdr:sp macro="" textlink="">
      <xdr:nvSpPr>
        <xdr:cNvPr id="9" name="TekstSylinder 8">
          <a:extLst>
            <a:ext uri="{FF2B5EF4-FFF2-40B4-BE49-F238E27FC236}">
              <a16:creationId xmlns:a16="http://schemas.microsoft.com/office/drawing/2014/main" id="{0E1FFCA2-8926-4E1C-AF63-0CF3E0C79DF0}"/>
            </a:ext>
          </a:extLst>
        </xdr:cNvPr>
        <xdr:cNvSpPr txBox="1"/>
      </xdr:nvSpPr>
      <xdr:spPr>
        <a:xfrm>
          <a:off x="10054511" y="11888470"/>
          <a:ext cx="1182910" cy="348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700"/>
            <a:t>+ Endret konstruksjon og design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xdr:row>
      <xdr:rowOff>114300</xdr:rowOff>
    </xdr:from>
    <xdr:to>
      <xdr:col>37</xdr:col>
      <xdr:colOff>533400</xdr:colOff>
      <xdr:row>8</xdr:row>
      <xdr:rowOff>152400</xdr:rowOff>
    </xdr:to>
    <xdr:sp macro="" textlink="">
      <xdr:nvSpPr>
        <xdr:cNvPr id="3" name="TekstSylinder 1">
          <a:extLst>
            <a:ext uri="{FF2B5EF4-FFF2-40B4-BE49-F238E27FC236}">
              <a16:creationId xmlns:a16="http://schemas.microsoft.com/office/drawing/2014/main" id="{BBC96C45-415C-4951-8D73-7206B5981378}"/>
            </a:ext>
          </a:extLst>
        </xdr:cNvPr>
        <xdr:cNvSpPr txBox="1"/>
      </xdr:nvSpPr>
      <xdr:spPr>
        <a:xfrm>
          <a:off x="47625" y="352425"/>
          <a:ext cx="17030700" cy="13716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baseline="0">
              <a:solidFill>
                <a:schemeClr val="dk1"/>
              </a:solidFill>
              <a:effectLst/>
              <a:latin typeface="+mn-lt"/>
              <a:ea typeface="+mn-ea"/>
              <a:cs typeface="+mn-cs"/>
            </a:rPr>
            <a:t>Dette arket viser bakgrunnstall for resulterende referansenivåer og utslippsrammer.</a:t>
          </a:r>
        </a:p>
        <a:p>
          <a:endParaRPr lang="nb-NO" sz="1100" b="1" baseline="0">
            <a:solidFill>
              <a:schemeClr val="dk1"/>
            </a:solidFill>
            <a:effectLst/>
            <a:latin typeface="+mn-lt"/>
            <a:ea typeface="+mn-ea"/>
            <a:cs typeface="+mn-cs"/>
          </a:endParaRPr>
        </a:p>
        <a:p>
          <a:r>
            <a:rPr lang="nb-NO" sz="1100" b="1" baseline="0">
              <a:solidFill>
                <a:schemeClr val="dk1"/>
              </a:solidFill>
              <a:effectLst/>
              <a:latin typeface="+mn-lt"/>
              <a:ea typeface="+mn-ea"/>
              <a:cs typeface="+mn-cs"/>
            </a:rPr>
            <a:t>Referanseverdier: </a:t>
          </a:r>
          <a:r>
            <a:rPr lang="nb-NO" sz="1100" b="0" baseline="0">
              <a:solidFill>
                <a:schemeClr val="dk1"/>
              </a:solidFill>
              <a:effectLst/>
              <a:latin typeface="+mn-lt"/>
              <a:ea typeface="+mn-ea"/>
              <a:cs typeface="+mn-cs"/>
            </a:rPr>
            <a:t>Disse tabellene viser referanse-utslippene per m2 BTA fordelt på bygningsdeler, for de ulike bygningskategoriene. Disse benyttes i verktøyet til å sette sammen utslippsramme for prosjektet, basert på bygningskategori, bruttoareal og kjellerareal. Referansenivåene er beregnet på bakgrunn av modellbygg for de ulike bygningskategoriene, som skal representere nøkterne, skoeskeformede bygg (Sintef-kassa) med standard løsnings- og materialvalg i dagens marked. Disse løsnings- og materialvalgene er basert på Bygganalyses modellbygg som ligger til grunn for både Isy Calcus og referansebyggmodulen i One Click LCA, og er i tillegg gjennomgått kvalitetssikring av fagpersoner gjennom Enova-prosjektet og flere andre prosjekter for bl.a. DiBK og Klimaetaten. Referanseverdiene er sist oppdatert i forbindelse med utredning av klimakrav i TEK17 i 2025.</a:t>
          </a:r>
          <a:endParaRPr lang="nb-NO">
            <a:effectLst/>
          </a:endParaRPr>
        </a:p>
        <a:p>
          <a:r>
            <a:rPr lang="nb-NO" sz="1100" b="0" baseline="0">
              <a:solidFill>
                <a:schemeClr val="dk1"/>
              </a:solidFill>
              <a:effectLst/>
              <a:latin typeface="+mn-lt"/>
              <a:ea typeface="+mn-ea"/>
              <a:cs typeface="+mn-cs"/>
            </a:rPr>
            <a:t>Bakgrunnen for modellbyggene er beskrevet ytterligere i </a:t>
          </a:r>
          <a:r>
            <a:rPr lang="nb-NO" sz="1100" b="0" baseline="0">
              <a:solidFill>
                <a:sysClr val="windowText" lastClr="000000"/>
              </a:solidFill>
              <a:effectLst/>
              <a:latin typeface="+mn-lt"/>
              <a:ea typeface="+mn-ea"/>
              <a:cs typeface="+mn-cs"/>
            </a:rPr>
            <a:t>veilederen til verktøyet, som du finner samme sted som verktøyet.</a:t>
          </a:r>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87630</xdr:rowOff>
    </xdr:from>
    <xdr:to>
      <xdr:col>8</xdr:col>
      <xdr:colOff>0</xdr:colOff>
      <xdr:row>12</xdr:row>
      <xdr:rowOff>13607</xdr:rowOff>
    </xdr:to>
    <xdr:sp macro="" textlink="">
      <xdr:nvSpPr>
        <xdr:cNvPr id="20" name="TekstSylinder 1">
          <a:hlinkClick xmlns:r="http://schemas.openxmlformats.org/officeDocument/2006/relationships" r:id="rId1"/>
          <a:extLst>
            <a:ext uri="{FF2B5EF4-FFF2-40B4-BE49-F238E27FC236}">
              <a16:creationId xmlns:a16="http://schemas.microsoft.com/office/drawing/2014/main" id="{7783BA93-74A9-451B-A32B-752278D0BC5B}"/>
            </a:ext>
          </a:extLst>
        </xdr:cNvPr>
        <xdr:cNvSpPr txBox="1"/>
      </xdr:nvSpPr>
      <xdr:spPr>
        <a:xfrm>
          <a:off x="625929" y="87630"/>
          <a:ext cx="7170964" cy="32597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Om utslippsfaktorer brukt i modellbyggene</a:t>
          </a:r>
        </a:p>
        <a:p>
          <a:r>
            <a:rPr lang="nb-NO" sz="1100"/>
            <a:t>Referansenivåene som beregnes for de ulike bygningskategoriene er basert på beregnede referansenivåer fra utredning av mulige klimakrav i TEK17 </a:t>
          </a:r>
          <a:r>
            <a:rPr lang="nb-NO" sz="1100" baseline="30000">
              <a:solidFill>
                <a:schemeClr val="dk1"/>
              </a:solidFill>
              <a:effectLst/>
              <a:latin typeface="+mn-lt"/>
              <a:ea typeface="+mn-ea"/>
              <a:cs typeface="+mn-cs"/>
            </a:rPr>
            <a:t>1) </a:t>
          </a:r>
          <a:r>
            <a:rPr lang="nb-NO" sz="1100"/>
            <a:t>. Referansenivåene er beregnet på bakgrunn av modellbygg. Her vises utslippsfaktorene som er brukt til beregningene for modellbyggene. Kolonnen "Referanse" angir utslippsfaktorene som ligger til grunn for referansenivåene. </a:t>
          </a:r>
        </a:p>
        <a:p>
          <a:endParaRPr lang="nb-NO" sz="1100"/>
        </a:p>
        <a:p>
          <a:r>
            <a:rPr lang="nb-NO" sz="1100"/>
            <a:t>I kolonnen "lavutslipp" vises utslippsfaktorene som er brukt for å definere "lavutslippsbyggene" i DiBK</a:t>
          </a:r>
          <a:r>
            <a:rPr lang="nb-NO" sz="1100" baseline="0"/>
            <a:t> utredningen (</a:t>
          </a:r>
          <a:r>
            <a:rPr lang="nb-NO"/>
            <a:t>Lavutslippsmaterialer, BAT, lavest mulig utslipp)</a:t>
          </a:r>
          <a:r>
            <a:rPr lang="nb-NO" sz="1100"/>
            <a:t>. Dette representerer de mest klimavennlige materialene på markedet (per 2025). Fullstendig dokumentasjon for utslippsfaktorer og modellbygg finnes i DiBK</a:t>
          </a:r>
          <a:r>
            <a:rPr lang="nb-NO" sz="1100" baseline="0"/>
            <a:t>-rapporten om utredning av klimakrav i TEK17 og i Enova-rapporten "Klimavennlig byggematerialer" fra 2020 </a:t>
          </a:r>
          <a:r>
            <a:rPr lang="nb-NO" sz="1100" baseline="30000">
              <a:solidFill>
                <a:schemeClr val="dk1"/>
              </a:solidFill>
              <a:effectLst/>
              <a:latin typeface="+mn-lt"/>
              <a:ea typeface="+mn-ea"/>
              <a:cs typeface="+mn-cs"/>
            </a:rPr>
            <a:t>2) </a:t>
          </a:r>
          <a:r>
            <a:rPr lang="nb-NO" sz="1100" baseline="0"/>
            <a:t>.</a:t>
          </a:r>
          <a:endParaRPr lang="nb-NO" sz="1100"/>
        </a:p>
        <a:p>
          <a:endParaRPr lang="nb-NO" sz="1100"/>
        </a:p>
        <a:p>
          <a:r>
            <a:rPr lang="nb-NO" sz="1100" baseline="30000"/>
            <a:t>1) </a:t>
          </a:r>
          <a:r>
            <a:rPr lang="nb-NO" sz="1100"/>
            <a:t>Klimakrav i TEK17. Utredning av et mulig klimakrav og hvordan kravet kan utformes. Asplan Viak, 2025. </a:t>
          </a:r>
          <a:r>
            <a:rPr lang="nb-NO" sz="1100">
              <a:solidFill>
                <a:schemeClr val="dk1"/>
              </a:solidFill>
              <a:effectLst/>
              <a:latin typeface="+mn-lt"/>
              <a:ea typeface="+mn-ea"/>
              <a:cs typeface="+mn-cs"/>
              <a:hlinkClick xmlns:r="http://schemas.openxmlformats.org/officeDocument/2006/relationships" r:id=""/>
            </a:rPr>
            <a:t>https://www.dibk.no/verktoy-og-veivisere/rapporter-og-publikasjoner/klimakrav-i-tek17-utredning-av-et-mulig-klimakrav-og-hvordan-kravet-kan-utformes/Klimakrav%20i%20TEK17%20-%20utredning%20av%20et%20mulig%20klimakrav%20og%20hvordan%20kravet%20kan%20utformes.%20Asplan%20Viak%202025.pdf</a:t>
          </a:r>
          <a:endParaRPr lang="nb-NO" sz="1100">
            <a:solidFill>
              <a:schemeClr val="dk1"/>
            </a:solidFill>
            <a:effectLst/>
            <a:latin typeface="+mn-lt"/>
            <a:ea typeface="+mn-ea"/>
            <a:cs typeface="+mn-cs"/>
          </a:endParaRPr>
        </a:p>
        <a:p>
          <a:r>
            <a:rPr lang="nb-NO" sz="1100" baseline="30000">
              <a:solidFill>
                <a:schemeClr val="dk1"/>
              </a:solidFill>
              <a:effectLst/>
              <a:latin typeface="+mn-lt"/>
              <a:ea typeface="+mn-ea"/>
              <a:cs typeface="+mn-cs"/>
            </a:rPr>
            <a:t>2) </a:t>
          </a:r>
          <a:r>
            <a:rPr lang="nb-NO" sz="1100">
              <a:solidFill>
                <a:schemeClr val="dk1"/>
              </a:solidFill>
              <a:effectLst/>
              <a:latin typeface="+mn-lt"/>
              <a:ea typeface="+mn-ea"/>
              <a:cs typeface="+mn-cs"/>
            </a:rPr>
            <a:t>Klimavennlig</a:t>
          </a:r>
          <a:r>
            <a:rPr lang="nb-NO" sz="1100" baseline="0">
              <a:solidFill>
                <a:schemeClr val="dk1"/>
              </a:solidFill>
              <a:effectLst/>
              <a:latin typeface="+mn-lt"/>
              <a:ea typeface="+mn-ea"/>
              <a:cs typeface="+mn-cs"/>
            </a:rPr>
            <a:t> byggematerialer. Enova, 2020. </a:t>
          </a:r>
          <a:r>
            <a:rPr lang="nb-NO" sz="1100" u="sng">
              <a:solidFill>
                <a:schemeClr val="accent1"/>
              </a:solidFill>
              <a:effectLst/>
              <a:latin typeface="+mn-lt"/>
              <a:ea typeface="+mn-ea"/>
              <a:cs typeface="+mn-cs"/>
            </a:rPr>
            <a:t>https://byggogbevar.no/media/paclhfnv/klimavennlige-byggematerialer-potensial-for-utslippskutt-og-barrierer-mot-bruk16102020.pdf </a:t>
          </a:r>
          <a:endParaRPr lang="nb-NO" sz="1100">
            <a:solidFill>
              <a:schemeClr val="accent1"/>
            </a:solidFill>
          </a:endParaRPr>
        </a:p>
      </xdr:txBody>
    </xdr:sp>
    <xdr:clientData/>
  </xdr:twoCellAnchor>
  <xdr:twoCellAnchor>
    <xdr:from>
      <xdr:col>8</xdr:col>
      <xdr:colOff>628650</xdr:colOff>
      <xdr:row>0</xdr:row>
      <xdr:rowOff>66675</xdr:rowOff>
    </xdr:from>
    <xdr:to>
      <xdr:col>15</xdr:col>
      <xdr:colOff>419101</xdr:colOff>
      <xdr:row>7</xdr:row>
      <xdr:rowOff>1304925</xdr:rowOff>
    </xdr:to>
    <xdr:sp macro="" textlink="">
      <xdr:nvSpPr>
        <xdr:cNvPr id="3" name="Text Box 1">
          <a:extLst>
            <a:ext uri="{FF2B5EF4-FFF2-40B4-BE49-F238E27FC236}">
              <a16:creationId xmlns:a16="http://schemas.microsoft.com/office/drawing/2014/main" id="{8027456D-847A-4E81-A140-0C1C304AFE76}"/>
            </a:ext>
          </a:extLst>
        </xdr:cNvPr>
        <xdr:cNvSpPr txBox="1">
          <a:spLocks noChangeArrowheads="1"/>
        </xdr:cNvSpPr>
      </xdr:nvSpPr>
      <xdr:spPr bwMode="auto">
        <a:xfrm>
          <a:off x="8181975" y="66675"/>
          <a:ext cx="5629276" cy="257175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nb-NO" sz="1100" b="1" i="0" u="none" strike="noStrike" baseline="0">
              <a:solidFill>
                <a:srgbClr val="000000"/>
              </a:solidFill>
              <a:latin typeface="+mn-lt"/>
              <a:cs typeface="Calibri"/>
            </a:rPr>
            <a:t>Om modellbyggene bak referansenivåene</a:t>
          </a:r>
        </a:p>
        <a:p>
          <a:pPr algn="l" rtl="0">
            <a:defRPr sz="1000"/>
          </a:pPr>
          <a:r>
            <a:rPr lang="nb-NO" sz="1100" b="0" i="0" u="none" strike="noStrike" baseline="0">
              <a:solidFill>
                <a:srgbClr val="000000"/>
              </a:solidFill>
              <a:latin typeface="+mn-lt"/>
              <a:cs typeface="Calibri"/>
            </a:rPr>
            <a:t>Geometrien for modellbyggene er basert på Sintefs modellbygg, som også er kjent som “SINTEF-kassa”. Denne ble første gang utviklet i 2003, men de ble noe revidert i 2006, i forbindelse med arbeidet med å fastsette energirammekrav i revidert TEK 97 (disse kravene omtales ofte som TEK 07, noe som formelt sett ikke er korrekt). I ettertid har disse modellbyggene blitt brukt i noe omarbeidet form for reviderte energikrav i forskriftene (TEK 10, TEK 17), samt i passivhusstandardene (NS 370x) mm. </a:t>
          </a:r>
        </a:p>
        <a:p>
          <a:pPr algn="l" rtl="0">
            <a:defRPr sz="1000"/>
          </a:pPr>
          <a:endParaRPr lang="nb-NO" sz="1100" b="0" i="0" u="none" strike="noStrike" baseline="0">
            <a:solidFill>
              <a:srgbClr val="000000"/>
            </a:solidFill>
            <a:latin typeface="+mn-lt"/>
            <a:cs typeface="Calibri"/>
          </a:endParaRPr>
        </a:p>
        <a:p>
          <a:pPr algn="l" rtl="0">
            <a:defRPr sz="1000"/>
          </a:pPr>
          <a:r>
            <a:rPr lang="nb-NO" sz="1100" b="0" i="0" u="none" strike="noStrike" baseline="0">
              <a:solidFill>
                <a:srgbClr val="000000"/>
              </a:solidFill>
              <a:latin typeface="+mn-lt"/>
              <a:cs typeface="Calibri"/>
            </a:rPr>
            <a:t>SINTEF skriver at «Bygningsmodellene lagt til grunn for foreliggende forslag til energirammer er basert på en kompakt og energieffektiv bygningsform». </a:t>
          </a:r>
        </a:p>
        <a:p>
          <a:pPr algn="l" rtl="0">
            <a:defRPr sz="1000"/>
          </a:pPr>
          <a:endParaRPr lang="nb-NO" sz="1100" b="0" i="0" u="none" strike="noStrike" baseline="0">
            <a:solidFill>
              <a:srgbClr val="000000"/>
            </a:solidFill>
            <a:latin typeface="+mn-lt"/>
            <a:cs typeface="Calibri"/>
          </a:endParaRPr>
        </a:p>
        <a:p>
          <a:pPr algn="l" rtl="0">
            <a:defRPr sz="1000"/>
          </a:pPr>
          <a:r>
            <a:rPr lang="nb-NO" sz="1100" b="0" i="0" u="none" strike="noStrike" baseline="0">
              <a:solidFill>
                <a:srgbClr val="000000"/>
              </a:solidFill>
              <a:latin typeface="+mn-lt"/>
              <a:cs typeface="Calibri"/>
            </a:rPr>
            <a:t>Følgende inndata gjelder for modellbyggberegningene som ligger til grunn for referansenivåene i kriterieveiviserens verktøy.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0</xdr:row>
      <xdr:rowOff>95250</xdr:rowOff>
    </xdr:from>
    <xdr:to>
      <xdr:col>10</xdr:col>
      <xdr:colOff>2247900</xdr:colOff>
      <xdr:row>8</xdr:row>
      <xdr:rowOff>66675</xdr:rowOff>
    </xdr:to>
    <xdr:sp macro="" textlink="">
      <xdr:nvSpPr>
        <xdr:cNvPr id="2" name="TekstSylinder 2">
          <a:extLst>
            <a:ext uri="{FF2B5EF4-FFF2-40B4-BE49-F238E27FC236}">
              <a16:creationId xmlns:a16="http://schemas.microsoft.com/office/drawing/2014/main" id="{5B71CE7E-23A2-41D3-9320-DDC44905D794}"/>
            </a:ext>
          </a:extLst>
        </xdr:cNvPr>
        <xdr:cNvSpPr txBox="1"/>
      </xdr:nvSpPr>
      <xdr:spPr>
        <a:xfrm>
          <a:off x="133350" y="95250"/>
          <a:ext cx="128492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Denne fanen viser tabeller for løsnings- og materialvalg og oppbygging for modellbyggene. Dersom du er usikker på hvilken bygningskategori som best representerer ditt prosjekt, kan det være lurt å ta en titt på denne fanen. Dette er spesielt aktuelt for omsorgsbygg og barnehager som ikke har en egen bygningskategori.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Mange barnehager og omsorgsboliger kan kateogriseres som småhus. Dette gjelder dersom byggene bygges med maks 2 etasjer og geometrien og romprogrammet ikke stiller krav til sterkere konstruksjon enn standard reisverk.</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For omsorgsboliger på mer enn to etasjer bør heller "sykehjem" vurderes. Dette kan også gjelde for 2-etasjes bygg som krever ekstra lange spenn, eller sterkere konstruksjon enn reisverk.</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For barnehager på mer enn to etasjer eller med krav til ekstra spenn og bæreevne kan "Skolebygg" benyttes.</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endParaRPr lang="nb-NO" sz="1100"/>
        </a:p>
      </xdr:txBody>
    </xdr:sp>
    <xdr:clientData/>
  </xdr:twoCellAnchor>
  <xdr:twoCellAnchor>
    <xdr:from>
      <xdr:col>0</xdr:col>
      <xdr:colOff>133350</xdr:colOff>
      <xdr:row>0</xdr:row>
      <xdr:rowOff>95250</xdr:rowOff>
    </xdr:from>
    <xdr:to>
      <xdr:col>21</xdr:col>
      <xdr:colOff>806824</xdr:colOff>
      <xdr:row>9</xdr:row>
      <xdr:rowOff>11205</xdr:rowOff>
    </xdr:to>
    <xdr:sp macro="" textlink="">
      <xdr:nvSpPr>
        <xdr:cNvPr id="3" name="TekstSylinder 2">
          <a:extLst>
            <a:ext uri="{FF2B5EF4-FFF2-40B4-BE49-F238E27FC236}">
              <a16:creationId xmlns:a16="http://schemas.microsoft.com/office/drawing/2014/main" id="{DE05A0F9-04D7-4EA9-AF43-D96D000E3FEC}"/>
            </a:ext>
          </a:extLst>
        </xdr:cNvPr>
        <xdr:cNvSpPr txBox="1"/>
      </xdr:nvSpPr>
      <xdr:spPr>
        <a:xfrm>
          <a:off x="133350" y="95250"/>
          <a:ext cx="17235768" cy="16304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Denne fanen viser tabeller for løsnings- og materialvalg og oppbygging for modellbyggene. Dersom du er usikker på hvilken bygningskategori som best representerer ditt prosjekt, kan det være lurt å ta en titt på denne fanen. Dette er spesielt aktuelt for omsorgsbygg og barnehager som ikke har en egen bygningskategori.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Mange barnehager og omsorgsboliger kan kateogriseres som småhus. Dette gjelder dersom byggene bygges med maks 2 etasjer og geometrien og romprogrammet ikke stiller krav til sterkere konstruksjon enn standard reisverk.</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For omsorgsboliger på mer enn to etasjer bør heller "sykehjem" vurderes. Dette kan også gjelde for 2-etasjes bygg som krever ekstra lange spenn, eller sterkere konstruksjon enn reisverk.</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For barnehager på mer enn to etasjer eller med krav til ekstra spenn og bæreevne kan "Skolebygg" benyttes.</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splanviak.sharepoint.com/personal/bayley_larkin_asplanviak_no/Documents/Microsoft%20Teams%20Chat%20Files/BL%20IDEAS_Oppdatert%20referansebyggverkt&#248;y%20DF&#2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Verktøy"/>
      <sheetName val="mer informasjon"/>
      <sheetName val="Reduksjon ide"/>
      <sheetName val="Nedtrekksmenyer"/>
      <sheetName val="Utslippstall modellbygg"/>
      <sheetName val="Modellbygg og utslippsfaktorer"/>
      <sheetName val="Løsningsvalg modellbygg"/>
      <sheetName val="Definisjon av BTA, BRA og BYA"/>
    </sheetNames>
    <sheetDataSet>
      <sheetData sheetId="0" refreshError="1"/>
      <sheetData sheetId="1" refreshError="1"/>
      <sheetData sheetId="2" refreshError="1"/>
      <sheetData sheetId="3">
        <row r="27">
          <cell r="E27" t="str">
            <v>Referanse</v>
          </cell>
          <cell r="F27">
            <v>120</v>
          </cell>
        </row>
        <row r="28">
          <cell r="E28" t="str">
            <v>20% 
reduksjon</v>
          </cell>
          <cell r="F28">
            <v>-30</v>
          </cell>
        </row>
        <row r="29">
          <cell r="E29" t="str">
            <v>30% 
reduksjon</v>
          </cell>
          <cell r="F29">
            <v>-10</v>
          </cell>
        </row>
        <row r="30">
          <cell r="E30" t="str">
            <v>40% 
reduksjon</v>
          </cell>
          <cell r="F30">
            <v>-10</v>
          </cell>
        </row>
        <row r="31">
          <cell r="E31" t="str">
            <v>60%
reduksjon</v>
          </cell>
          <cell r="F31">
            <v>-20</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20AF-AE6E-4196-9198-38116B11500A}">
  <dimension ref="Q5:S26"/>
  <sheetViews>
    <sheetView showGridLines="0" tabSelected="1" zoomScale="70" zoomScaleNormal="70" workbookViewId="0">
      <selection activeCell="R12" sqref="R12"/>
    </sheetView>
  </sheetViews>
  <sheetFormatPr defaultColWidth="9.140625" defaultRowHeight="15" x14ac:dyDescent="0.25"/>
  <cols>
    <col min="1" max="16" width="9.140625" style="94"/>
    <col min="17" max="17" width="25.140625" style="94" customWidth="1"/>
    <col min="18" max="18" width="24.5703125" style="94" customWidth="1"/>
    <col min="19" max="19" width="65" style="94" customWidth="1"/>
    <col min="20" max="16384" width="9.140625" style="94"/>
  </cols>
  <sheetData>
    <row r="5" spans="17:19" x14ac:dyDescent="0.25">
      <c r="S5" s="94" t="s">
        <v>0</v>
      </c>
    </row>
    <row r="6" spans="17:19" x14ac:dyDescent="0.25">
      <c r="S6" s="94" t="s">
        <v>606</v>
      </c>
    </row>
    <row r="9" spans="17:19" ht="18.75" x14ac:dyDescent="0.3">
      <c r="Q9" s="41" t="s">
        <v>543</v>
      </c>
      <c r="R9"/>
      <c r="S9"/>
    </row>
    <row r="10" spans="17:19" x14ac:dyDescent="0.25">
      <c r="Q10" s="42" t="s">
        <v>541</v>
      </c>
      <c r="R10" s="42" t="s">
        <v>542</v>
      </c>
      <c r="S10" s="42" t="s">
        <v>61</v>
      </c>
    </row>
    <row r="11" spans="17:19" ht="45" x14ac:dyDescent="0.25">
      <c r="Q11" s="212" t="s">
        <v>586</v>
      </c>
      <c r="R11" s="214">
        <v>46087</v>
      </c>
      <c r="S11" s="318" t="s">
        <v>607</v>
      </c>
    </row>
    <row r="12" spans="17:19" ht="60" x14ac:dyDescent="0.25">
      <c r="Q12" s="212" t="s">
        <v>570</v>
      </c>
      <c r="R12" s="214">
        <v>45223</v>
      </c>
      <c r="S12" s="210" t="s">
        <v>583</v>
      </c>
    </row>
    <row r="13" spans="17:19" ht="255" x14ac:dyDescent="0.25">
      <c r="Q13" s="212" t="s">
        <v>551</v>
      </c>
      <c r="R13" s="214">
        <v>45162</v>
      </c>
      <c r="S13" s="210" t="s">
        <v>582</v>
      </c>
    </row>
    <row r="14" spans="17:19" x14ac:dyDescent="0.25">
      <c r="Q14" s="211" t="s">
        <v>552</v>
      </c>
      <c r="R14" s="212">
        <v>2022</v>
      </c>
      <c r="S14" s="213"/>
    </row>
    <row r="18" spans="17:19" x14ac:dyDescent="0.25">
      <c r="Q18"/>
      <c r="R18"/>
      <c r="S18"/>
    </row>
    <row r="19" spans="17:19" x14ac:dyDescent="0.25">
      <c r="Q19"/>
      <c r="R19"/>
      <c r="S19"/>
    </row>
    <row r="20" spans="17:19" x14ac:dyDescent="0.25">
      <c r="Q20" s="209"/>
      <c r="R20"/>
      <c r="S20"/>
    </row>
    <row r="21" spans="17:19" x14ac:dyDescent="0.25">
      <c r="Q21"/>
      <c r="R21"/>
      <c r="S21"/>
    </row>
    <row r="23" spans="17:19" ht="204" customHeight="1" x14ac:dyDescent="0.25"/>
    <row r="24" spans="17:19" ht="26.25" customHeight="1" x14ac:dyDescent="0.25"/>
    <row r="26" spans="17:19" x14ac:dyDescent="0.25">
      <c r="Q26"/>
      <c r="R26"/>
      <c r="S26"/>
    </row>
  </sheetData>
  <sheetProtection algorithmName="SHA-512" hashValue="3VEIWdplUDzHxrEeKg9WJm9lLsjmDElAgPGYAxnHBHj3GT0CJfwf1n2Kzz5Zu4s8kaWlQNfmxqPlfZ/wclWDqQ==" saltValue="Rv52CocHZL0cKM8tJrq8Fw=="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25EB-A9BA-4218-85CA-7C0FD6AFE489}">
  <dimension ref="A1:J40"/>
  <sheetViews>
    <sheetView showGridLines="0" workbookViewId="0">
      <selection activeCell="A8" sqref="A8:J16"/>
    </sheetView>
  </sheetViews>
  <sheetFormatPr defaultColWidth="9.140625" defaultRowHeight="15" x14ac:dyDescent="0.25"/>
  <sheetData>
    <row r="1" spans="1:10" ht="15.75" thickBot="1" x14ac:dyDescent="0.3"/>
    <row r="2" spans="1:10" ht="19.5" thickBot="1" x14ac:dyDescent="0.35">
      <c r="A2" s="522" t="s">
        <v>389</v>
      </c>
      <c r="B2" s="523"/>
      <c r="C2" s="523"/>
      <c r="D2" s="523"/>
      <c r="E2" s="523"/>
      <c r="F2" s="523"/>
      <c r="G2" s="523"/>
      <c r="H2" s="523"/>
      <c r="I2" s="523"/>
      <c r="J2" s="524"/>
    </row>
    <row r="3" spans="1:10" x14ac:dyDescent="0.25">
      <c r="A3" s="525" t="s">
        <v>390</v>
      </c>
      <c r="B3" s="526"/>
      <c r="C3" s="526"/>
      <c r="D3" s="526"/>
      <c r="E3" s="526"/>
      <c r="F3" s="526"/>
      <c r="G3" s="526"/>
      <c r="H3" s="526"/>
      <c r="I3" s="526"/>
      <c r="J3" s="527"/>
    </row>
    <row r="4" spans="1:10" x14ac:dyDescent="0.25">
      <c r="A4" s="528"/>
      <c r="B4" s="529"/>
      <c r="C4" s="529"/>
      <c r="D4" s="529"/>
      <c r="E4" s="529"/>
      <c r="F4" s="529"/>
      <c r="G4" s="529"/>
      <c r="H4" s="529"/>
      <c r="I4" s="529"/>
      <c r="J4" s="530"/>
    </row>
    <row r="5" spans="1:10" ht="15.75" thickBot="1" x14ac:dyDescent="0.3">
      <c r="A5" s="531"/>
      <c r="B5" s="532"/>
      <c r="C5" s="532"/>
      <c r="D5" s="532"/>
      <c r="E5" s="532"/>
      <c r="F5" s="532"/>
      <c r="G5" s="532"/>
      <c r="H5" s="532"/>
      <c r="I5" s="532"/>
      <c r="J5" s="533"/>
    </row>
    <row r="6" spans="1:10" ht="15.75" thickBot="1" x14ac:dyDescent="0.3">
      <c r="A6" s="39"/>
      <c r="B6" s="39"/>
      <c r="C6" s="39"/>
      <c r="D6" s="39"/>
      <c r="E6" s="39"/>
      <c r="F6" s="39"/>
      <c r="G6" s="39"/>
      <c r="H6" s="39"/>
      <c r="I6" s="39"/>
      <c r="J6" s="39"/>
    </row>
    <row r="7" spans="1:10" ht="15.75" thickBot="1" x14ac:dyDescent="0.3">
      <c r="A7" s="534" t="s">
        <v>391</v>
      </c>
      <c r="B7" s="535"/>
      <c r="C7" s="535"/>
      <c r="D7" s="535"/>
      <c r="E7" s="535"/>
      <c r="F7" s="535"/>
      <c r="G7" s="535"/>
      <c r="H7" s="535"/>
      <c r="I7" s="535"/>
      <c r="J7" s="536"/>
    </row>
    <row r="8" spans="1:10" x14ac:dyDescent="0.25">
      <c r="A8" s="513" t="s">
        <v>392</v>
      </c>
      <c r="B8" s="514"/>
      <c r="C8" s="514"/>
      <c r="D8" s="514"/>
      <c r="E8" s="514"/>
      <c r="F8" s="514"/>
      <c r="G8" s="514"/>
      <c r="H8" s="514"/>
      <c r="I8" s="514"/>
      <c r="J8" s="515"/>
    </row>
    <row r="9" spans="1:10" x14ac:dyDescent="0.25">
      <c r="A9" s="516"/>
      <c r="B9" s="517"/>
      <c r="C9" s="517"/>
      <c r="D9" s="517"/>
      <c r="E9" s="517"/>
      <c r="F9" s="517"/>
      <c r="G9" s="517"/>
      <c r="H9" s="517"/>
      <c r="I9" s="517"/>
      <c r="J9" s="518"/>
    </row>
    <row r="10" spans="1:10" x14ac:dyDescent="0.25">
      <c r="A10" s="516"/>
      <c r="B10" s="517"/>
      <c r="C10" s="517"/>
      <c r="D10" s="517"/>
      <c r="E10" s="517"/>
      <c r="F10" s="517"/>
      <c r="G10" s="517"/>
      <c r="H10" s="517"/>
      <c r="I10" s="517"/>
      <c r="J10" s="518"/>
    </row>
    <row r="11" spans="1:10" x14ac:dyDescent="0.25">
      <c r="A11" s="516"/>
      <c r="B11" s="517"/>
      <c r="C11" s="517"/>
      <c r="D11" s="517"/>
      <c r="E11" s="517"/>
      <c r="F11" s="517"/>
      <c r="G11" s="517"/>
      <c r="H11" s="517"/>
      <c r="I11" s="517"/>
      <c r="J11" s="518"/>
    </row>
    <row r="12" spans="1:10" x14ac:dyDescent="0.25">
      <c r="A12" s="516"/>
      <c r="B12" s="517"/>
      <c r="C12" s="517"/>
      <c r="D12" s="517"/>
      <c r="E12" s="517"/>
      <c r="F12" s="517"/>
      <c r="G12" s="517"/>
      <c r="H12" s="517"/>
      <c r="I12" s="517"/>
      <c r="J12" s="518"/>
    </row>
    <row r="13" spans="1:10" x14ac:dyDescent="0.25">
      <c r="A13" s="516"/>
      <c r="B13" s="517"/>
      <c r="C13" s="517"/>
      <c r="D13" s="517"/>
      <c r="E13" s="517"/>
      <c r="F13" s="517"/>
      <c r="G13" s="517"/>
      <c r="H13" s="517"/>
      <c r="I13" s="517"/>
      <c r="J13" s="518"/>
    </row>
    <row r="14" spans="1:10" x14ac:dyDescent="0.25">
      <c r="A14" s="516"/>
      <c r="B14" s="517"/>
      <c r="C14" s="517"/>
      <c r="D14" s="517"/>
      <c r="E14" s="517"/>
      <c r="F14" s="517"/>
      <c r="G14" s="517"/>
      <c r="H14" s="517"/>
      <c r="I14" s="517"/>
      <c r="J14" s="518"/>
    </row>
    <row r="15" spans="1:10" x14ac:dyDescent="0.25">
      <c r="A15" s="516"/>
      <c r="B15" s="517"/>
      <c r="C15" s="517"/>
      <c r="D15" s="517"/>
      <c r="E15" s="517"/>
      <c r="F15" s="517"/>
      <c r="G15" s="517"/>
      <c r="H15" s="517"/>
      <c r="I15" s="517"/>
      <c r="J15" s="518"/>
    </row>
    <row r="16" spans="1:10" ht="15.75" thickBot="1" x14ac:dyDescent="0.3">
      <c r="A16" s="519"/>
      <c r="B16" s="520"/>
      <c r="C16" s="520"/>
      <c r="D16" s="520"/>
      <c r="E16" s="520"/>
      <c r="F16" s="520"/>
      <c r="G16" s="520"/>
      <c r="H16" s="520"/>
      <c r="I16" s="520"/>
      <c r="J16" s="521"/>
    </row>
    <row r="17" spans="1:10" ht="15.75" thickBot="1" x14ac:dyDescent="0.3">
      <c r="A17" s="39"/>
      <c r="B17" s="39"/>
      <c r="C17" s="39"/>
      <c r="D17" s="39"/>
      <c r="E17" s="39"/>
      <c r="F17" s="39"/>
      <c r="G17" s="39"/>
      <c r="H17" s="39"/>
      <c r="I17" s="39"/>
      <c r="J17" s="39"/>
    </row>
    <row r="18" spans="1:10" ht="15.75" thickBot="1" x14ac:dyDescent="0.3">
      <c r="A18" s="534" t="s">
        <v>393</v>
      </c>
      <c r="B18" s="535"/>
      <c r="C18" s="535"/>
      <c r="D18" s="535"/>
      <c r="E18" s="535"/>
      <c r="F18" s="535"/>
      <c r="G18" s="535"/>
      <c r="H18" s="535"/>
      <c r="I18" s="535"/>
      <c r="J18" s="536"/>
    </row>
    <row r="19" spans="1:10" x14ac:dyDescent="0.25">
      <c r="A19" s="513" t="s">
        <v>394</v>
      </c>
      <c r="B19" s="514"/>
      <c r="C19" s="514"/>
      <c r="D19" s="514"/>
      <c r="E19" s="514"/>
      <c r="F19" s="514"/>
      <c r="G19" s="514"/>
      <c r="H19" s="514"/>
      <c r="I19" s="514"/>
      <c r="J19" s="515"/>
    </row>
    <row r="20" spans="1:10" x14ac:dyDescent="0.25">
      <c r="A20" s="516"/>
      <c r="B20" s="517"/>
      <c r="C20" s="517"/>
      <c r="D20" s="517"/>
      <c r="E20" s="517"/>
      <c r="F20" s="517"/>
      <c r="G20" s="517"/>
      <c r="H20" s="517"/>
      <c r="I20" s="517"/>
      <c r="J20" s="518"/>
    </row>
    <row r="21" spans="1:10" x14ac:dyDescent="0.25">
      <c r="A21" s="516"/>
      <c r="B21" s="517"/>
      <c r="C21" s="517"/>
      <c r="D21" s="517"/>
      <c r="E21" s="517"/>
      <c r="F21" s="517"/>
      <c r="G21" s="517"/>
      <c r="H21" s="517"/>
      <c r="I21" s="517"/>
      <c r="J21" s="518"/>
    </row>
    <row r="22" spans="1:10" x14ac:dyDescent="0.25">
      <c r="A22" s="516"/>
      <c r="B22" s="517"/>
      <c r="C22" s="517"/>
      <c r="D22" s="517"/>
      <c r="E22" s="517"/>
      <c r="F22" s="517"/>
      <c r="G22" s="517"/>
      <c r="H22" s="517"/>
      <c r="I22" s="517"/>
      <c r="J22" s="518"/>
    </row>
    <row r="23" spans="1:10" x14ac:dyDescent="0.25">
      <c r="A23" s="516"/>
      <c r="B23" s="517"/>
      <c r="C23" s="517"/>
      <c r="D23" s="517"/>
      <c r="E23" s="517"/>
      <c r="F23" s="517"/>
      <c r="G23" s="517"/>
      <c r="H23" s="517"/>
      <c r="I23" s="517"/>
      <c r="J23" s="518"/>
    </row>
    <row r="24" spans="1:10" x14ac:dyDescent="0.25">
      <c r="A24" s="516"/>
      <c r="B24" s="517"/>
      <c r="C24" s="517"/>
      <c r="D24" s="517"/>
      <c r="E24" s="517"/>
      <c r="F24" s="517"/>
      <c r="G24" s="517"/>
      <c r="H24" s="517"/>
      <c r="I24" s="517"/>
      <c r="J24" s="518"/>
    </row>
    <row r="25" spans="1:10" x14ac:dyDescent="0.25">
      <c r="A25" s="516"/>
      <c r="B25" s="517"/>
      <c r="C25" s="517"/>
      <c r="D25" s="517"/>
      <c r="E25" s="517"/>
      <c r="F25" s="517"/>
      <c r="G25" s="517"/>
      <c r="H25" s="517"/>
      <c r="I25" s="517"/>
      <c r="J25" s="518"/>
    </row>
    <row r="26" spans="1:10" ht="15.75" thickBot="1" x14ac:dyDescent="0.3">
      <c r="A26" s="519"/>
      <c r="B26" s="520"/>
      <c r="C26" s="520"/>
      <c r="D26" s="520"/>
      <c r="E26" s="520"/>
      <c r="F26" s="520"/>
      <c r="G26" s="520"/>
      <c r="H26" s="520"/>
      <c r="I26" s="520"/>
      <c r="J26" s="521"/>
    </row>
    <row r="27" spans="1:10" ht="15.75" thickBot="1" x14ac:dyDescent="0.3">
      <c r="A27" s="40"/>
      <c r="B27" s="40"/>
      <c r="C27" s="40"/>
      <c r="D27" s="40"/>
      <c r="E27" s="40"/>
      <c r="F27" s="40"/>
      <c r="G27" s="40"/>
      <c r="H27" s="40"/>
      <c r="I27" s="40"/>
      <c r="J27" s="40"/>
    </row>
    <row r="28" spans="1:10" ht="15.75" thickBot="1" x14ac:dyDescent="0.3">
      <c r="A28" s="510" t="s">
        <v>395</v>
      </c>
      <c r="B28" s="511"/>
      <c r="C28" s="511"/>
      <c r="D28" s="511"/>
      <c r="E28" s="511"/>
      <c r="F28" s="511"/>
      <c r="G28" s="511"/>
      <c r="H28" s="511"/>
      <c r="I28" s="511"/>
      <c r="J28" s="512"/>
    </row>
    <row r="29" spans="1:10" x14ac:dyDescent="0.25">
      <c r="A29" s="513" t="s">
        <v>396</v>
      </c>
      <c r="B29" s="514"/>
      <c r="C29" s="514"/>
      <c r="D29" s="514"/>
      <c r="E29" s="514"/>
      <c r="F29" s="514"/>
      <c r="G29" s="514"/>
      <c r="H29" s="514"/>
      <c r="I29" s="514"/>
      <c r="J29" s="515"/>
    </row>
    <row r="30" spans="1:10" x14ac:dyDescent="0.25">
      <c r="A30" s="516"/>
      <c r="B30" s="517"/>
      <c r="C30" s="517"/>
      <c r="D30" s="517"/>
      <c r="E30" s="517"/>
      <c r="F30" s="517"/>
      <c r="G30" s="517"/>
      <c r="H30" s="517"/>
      <c r="I30" s="517"/>
      <c r="J30" s="518"/>
    </row>
    <row r="31" spans="1:10" x14ac:dyDescent="0.25">
      <c r="A31" s="516"/>
      <c r="B31" s="517"/>
      <c r="C31" s="517"/>
      <c r="D31" s="517"/>
      <c r="E31" s="517"/>
      <c r="F31" s="517"/>
      <c r="G31" s="517"/>
      <c r="H31" s="517"/>
      <c r="I31" s="517"/>
      <c r="J31" s="518"/>
    </row>
    <row r="32" spans="1:10" x14ac:dyDescent="0.25">
      <c r="A32" s="516"/>
      <c r="B32" s="517"/>
      <c r="C32" s="517"/>
      <c r="D32" s="517"/>
      <c r="E32" s="517"/>
      <c r="F32" s="517"/>
      <c r="G32" s="517"/>
      <c r="H32" s="517"/>
      <c r="I32" s="517"/>
      <c r="J32" s="518"/>
    </row>
    <row r="33" spans="1:10" x14ac:dyDescent="0.25">
      <c r="A33" s="516"/>
      <c r="B33" s="517"/>
      <c r="C33" s="517"/>
      <c r="D33" s="517"/>
      <c r="E33" s="517"/>
      <c r="F33" s="517"/>
      <c r="G33" s="517"/>
      <c r="H33" s="517"/>
      <c r="I33" s="517"/>
      <c r="J33" s="518"/>
    </row>
    <row r="34" spans="1:10" x14ac:dyDescent="0.25">
      <c r="A34" s="516"/>
      <c r="B34" s="517"/>
      <c r="C34" s="517"/>
      <c r="D34" s="517"/>
      <c r="E34" s="517"/>
      <c r="F34" s="517"/>
      <c r="G34" s="517"/>
      <c r="H34" s="517"/>
      <c r="I34" s="517"/>
      <c r="J34" s="518"/>
    </row>
    <row r="35" spans="1:10" x14ac:dyDescent="0.25">
      <c r="A35" s="516"/>
      <c r="B35" s="517"/>
      <c r="C35" s="517"/>
      <c r="D35" s="517"/>
      <c r="E35" s="517"/>
      <c r="F35" s="517"/>
      <c r="G35" s="517"/>
      <c r="H35" s="517"/>
      <c r="I35" s="517"/>
      <c r="J35" s="518"/>
    </row>
    <row r="36" spans="1:10" x14ac:dyDescent="0.25">
      <c r="A36" s="516"/>
      <c r="B36" s="517"/>
      <c r="C36" s="517"/>
      <c r="D36" s="517"/>
      <c r="E36" s="517"/>
      <c r="F36" s="517"/>
      <c r="G36" s="517"/>
      <c r="H36" s="517"/>
      <c r="I36" s="517"/>
      <c r="J36" s="518"/>
    </row>
    <row r="37" spans="1:10" x14ac:dyDescent="0.25">
      <c r="A37" s="516"/>
      <c r="B37" s="517"/>
      <c r="C37" s="517"/>
      <c r="D37" s="517"/>
      <c r="E37" s="517"/>
      <c r="F37" s="517"/>
      <c r="G37" s="517"/>
      <c r="H37" s="517"/>
      <c r="I37" s="517"/>
      <c r="J37" s="518"/>
    </row>
    <row r="38" spans="1:10" x14ac:dyDescent="0.25">
      <c r="A38" s="516"/>
      <c r="B38" s="517"/>
      <c r="C38" s="517"/>
      <c r="D38" s="517"/>
      <c r="E38" s="517"/>
      <c r="F38" s="517"/>
      <c r="G38" s="517"/>
      <c r="H38" s="517"/>
      <c r="I38" s="517"/>
      <c r="J38" s="518"/>
    </row>
    <row r="39" spans="1:10" x14ac:dyDescent="0.25">
      <c r="A39" s="516"/>
      <c r="B39" s="517"/>
      <c r="C39" s="517"/>
      <c r="D39" s="517"/>
      <c r="E39" s="517"/>
      <c r="F39" s="517"/>
      <c r="G39" s="517"/>
      <c r="H39" s="517"/>
      <c r="I39" s="517"/>
      <c r="J39" s="518"/>
    </row>
    <row r="40" spans="1:10" ht="15.75" thickBot="1" x14ac:dyDescent="0.3">
      <c r="A40" s="519"/>
      <c r="B40" s="520"/>
      <c r="C40" s="520"/>
      <c r="D40" s="520"/>
      <c r="E40" s="520"/>
      <c r="F40" s="520"/>
      <c r="G40" s="520"/>
      <c r="H40" s="520"/>
      <c r="I40" s="520"/>
      <c r="J40" s="521"/>
    </row>
  </sheetData>
  <sheetProtection algorithmName="SHA-512" hashValue="x7qoty/ys7GjDVkfpuYd0vR/lLu05YdyNODwWs73jRi8ucVmdjC0L0Z/Mm9CyNc0trDfAD1MDDiE4X/G1I+yFQ==" saltValue="YYj7VTl9lFAaEh9wvxy+eA==" spinCount="100000" sheet="1" objects="1" scenarios="1" selectLockedCells="1"/>
  <mergeCells count="8">
    <mergeCell ref="A28:J28"/>
    <mergeCell ref="A29:J40"/>
    <mergeCell ref="A2:J2"/>
    <mergeCell ref="A3:J5"/>
    <mergeCell ref="A7:J7"/>
    <mergeCell ref="A8:J16"/>
    <mergeCell ref="A18:J18"/>
    <mergeCell ref="A19:J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CA6C-717A-45FA-BAED-83EF50D405BE}">
  <dimension ref="A1:AB115"/>
  <sheetViews>
    <sheetView zoomScale="75" zoomScaleNormal="75" workbookViewId="0">
      <selection activeCell="C8" sqref="C8"/>
    </sheetView>
  </sheetViews>
  <sheetFormatPr defaultColWidth="0" defaultRowHeight="15" zeroHeight="1" x14ac:dyDescent="0.25"/>
  <cols>
    <col min="1" max="1" width="3.85546875" style="94" customWidth="1"/>
    <col min="2" max="2" width="38.85546875" style="94" customWidth="1"/>
    <col min="3" max="3" width="14.7109375" style="94" customWidth="1"/>
    <col min="4" max="4" width="14.42578125" style="94" customWidth="1"/>
    <col min="5" max="5" width="13.5703125" style="94" customWidth="1"/>
    <col min="6" max="6" width="12.42578125" style="94" customWidth="1"/>
    <col min="7" max="7" width="19.28515625" style="94" customWidth="1"/>
    <col min="8" max="8" width="37.28515625" style="94" customWidth="1"/>
    <col min="9" max="12" width="9.140625" style="94" customWidth="1"/>
    <col min="13" max="13" width="4.28515625" style="94" customWidth="1"/>
    <col min="14" max="14" width="3.5703125" style="94" customWidth="1"/>
    <col min="15" max="15" width="23.5703125" style="94" customWidth="1"/>
    <col min="16" max="21" width="8.7109375" style="94" customWidth="1"/>
    <col min="22" max="24" width="9.140625" style="94" hidden="1" customWidth="1"/>
    <col min="25" max="25" width="14.28515625" style="94" hidden="1" customWidth="1"/>
    <col min="26" max="28" width="0" style="94" hidden="1" customWidth="1"/>
    <col min="29" max="16384" width="9.140625" style="94" hidden="1"/>
  </cols>
  <sheetData>
    <row r="1" spans="2:22" x14ac:dyDescent="0.25"/>
    <row r="2" spans="2:22" ht="21" x14ac:dyDescent="0.25">
      <c r="B2" s="378" t="s">
        <v>398</v>
      </c>
      <c r="C2" s="378"/>
      <c r="D2" s="378"/>
      <c r="E2" s="378"/>
      <c r="F2" s="378"/>
      <c r="G2" s="378"/>
      <c r="H2" s="378"/>
      <c r="I2" s="378"/>
      <c r="J2" s="378"/>
      <c r="K2" s="378"/>
      <c r="L2" s="378"/>
      <c r="M2" s="378"/>
      <c r="N2" s="378"/>
      <c r="O2" s="378"/>
      <c r="P2" s="378"/>
      <c r="Q2" s="378"/>
      <c r="R2" s="378"/>
      <c r="S2" s="378"/>
      <c r="T2" s="378"/>
      <c r="U2" s="378"/>
    </row>
    <row r="3" spans="2:22" ht="13.5" customHeight="1" x14ac:dyDescent="0.25">
      <c r="B3" s="102"/>
      <c r="C3" s="102"/>
      <c r="D3" s="102"/>
      <c r="E3" s="102"/>
      <c r="F3" s="102"/>
      <c r="G3" s="102"/>
      <c r="H3" s="102"/>
      <c r="I3" s="102"/>
      <c r="J3" s="102"/>
      <c r="K3" s="102"/>
      <c r="L3" s="102"/>
      <c r="M3" s="102"/>
      <c r="N3" s="102"/>
      <c r="O3" s="102"/>
      <c r="P3" s="102"/>
      <c r="Q3" s="102"/>
      <c r="R3" s="102"/>
      <c r="S3" s="102"/>
      <c r="T3" s="102"/>
      <c r="U3" s="102"/>
    </row>
    <row r="4" spans="2:22" x14ac:dyDescent="0.25">
      <c r="B4" s="100" t="s">
        <v>402</v>
      </c>
      <c r="C4" s="101"/>
      <c r="D4" s="101"/>
      <c r="E4" s="101"/>
      <c r="F4" s="101"/>
      <c r="G4" s="101"/>
      <c r="H4" s="101"/>
      <c r="I4" s="101"/>
      <c r="J4" s="101"/>
      <c r="K4" s="101"/>
      <c r="L4" s="101"/>
      <c r="M4" s="101"/>
      <c r="N4" s="101"/>
      <c r="O4" s="101"/>
      <c r="P4" s="101"/>
      <c r="Q4" s="101"/>
      <c r="R4" s="101"/>
      <c r="S4" s="101"/>
      <c r="T4" s="101"/>
      <c r="U4" s="101"/>
    </row>
    <row r="5" spans="2:22" ht="15.75" thickBot="1" x14ac:dyDescent="0.3"/>
    <row r="6" spans="2:22" ht="17.25" customHeight="1" thickBot="1" x14ac:dyDescent="0.3">
      <c r="B6" s="339" t="s">
        <v>555</v>
      </c>
      <c r="C6" s="340"/>
      <c r="D6" s="341"/>
      <c r="E6" s="342" t="s">
        <v>1</v>
      </c>
      <c r="F6" s="343"/>
      <c r="G6" s="343"/>
      <c r="H6" s="344"/>
    </row>
    <row r="7" spans="2:22" ht="17.25" customHeight="1" thickBot="1" x14ac:dyDescent="0.3">
      <c r="B7" s="199" t="s">
        <v>2</v>
      </c>
      <c r="C7" s="345" t="s">
        <v>46</v>
      </c>
      <c r="D7" s="346"/>
      <c r="E7" s="199" t="s">
        <v>4</v>
      </c>
      <c r="F7" s="200"/>
      <c r="G7" s="201"/>
      <c r="H7" s="202" t="s">
        <v>5</v>
      </c>
      <c r="V7" s="152"/>
    </row>
    <row r="8" spans="2:22" ht="17.25" customHeight="1" x14ac:dyDescent="0.25">
      <c r="B8" s="107" t="str">
        <f>C7&amp; " (over bakken)"</f>
        <v>Velg bygningskategori (over bakken)</v>
      </c>
      <c r="C8" s="114"/>
      <c r="D8" s="321" t="str">
        <f>IF(C7="Industri","m2 BYA", "m2 BTA")</f>
        <v>m2 BTA</v>
      </c>
      <c r="E8" s="347" t="str">
        <f>IF($C$7="Industri","BYA for bygg over bakken. Husk total BTA under","BTA for bygg over bakken")</f>
        <v>BTA for bygg over bakken</v>
      </c>
      <c r="F8" s="348"/>
      <c r="G8" s="349"/>
      <c r="H8" s="198"/>
      <c r="V8" s="191"/>
    </row>
    <row r="9" spans="2:22" ht="17.25" customHeight="1" x14ac:dyDescent="0.25">
      <c r="B9" s="58" t="s">
        <v>7</v>
      </c>
      <c r="C9" s="59"/>
      <c r="D9" s="322" t="s">
        <v>6</v>
      </c>
      <c r="E9" s="336" t="s">
        <v>8</v>
      </c>
      <c r="F9" s="337"/>
      <c r="G9" s="338"/>
      <c r="H9" s="121"/>
    </row>
    <row r="10" spans="2:22" ht="17.25" customHeight="1" x14ac:dyDescent="0.25">
      <c r="B10" s="58" t="s">
        <v>9</v>
      </c>
      <c r="C10" s="59"/>
      <c r="D10" s="322" t="s">
        <v>6</v>
      </c>
      <c r="E10" s="336" t="s">
        <v>10</v>
      </c>
      <c r="F10" s="337"/>
      <c r="G10" s="338"/>
      <c r="H10" s="121"/>
    </row>
    <row r="11" spans="2:22" s="186" customFormat="1" ht="17.25" customHeight="1" x14ac:dyDescent="0.25">
      <c r="B11" s="204" t="s">
        <v>548</v>
      </c>
      <c r="C11" s="215"/>
      <c r="D11" s="323" t="s">
        <v>14</v>
      </c>
      <c r="E11" s="393" t="s">
        <v>553</v>
      </c>
      <c r="F11" s="394"/>
      <c r="G11" s="395"/>
      <c r="H11" s="217"/>
    </row>
    <row r="12" spans="2:22" s="186" customFormat="1" ht="17.25" customHeight="1" thickBot="1" x14ac:dyDescent="0.3">
      <c r="B12" s="127" t="s">
        <v>550</v>
      </c>
      <c r="C12" s="216"/>
      <c r="D12" s="324" t="s">
        <v>549</v>
      </c>
      <c r="E12" s="205" t="s">
        <v>547</v>
      </c>
      <c r="F12" s="203"/>
      <c r="G12" s="206"/>
      <c r="H12" s="218"/>
    </row>
    <row r="13" spans="2:22" s="186" customFormat="1" ht="17.25" customHeight="1" thickBot="1" x14ac:dyDescent="0.3">
      <c r="B13" s="187"/>
      <c r="C13" s="188"/>
      <c r="D13" s="189"/>
      <c r="E13" s="190"/>
      <c r="F13" s="190"/>
      <c r="G13" s="190"/>
    </row>
    <row r="14" spans="2:22" s="186" customFormat="1" ht="17.25" customHeight="1" x14ac:dyDescent="0.25">
      <c r="B14" s="396" t="s">
        <v>408</v>
      </c>
      <c r="C14" s="397"/>
      <c r="D14" s="398"/>
      <c r="E14" s="117"/>
      <c r="F14" s="118"/>
      <c r="G14" s="123"/>
      <c r="H14" s="198"/>
    </row>
    <row r="15" spans="2:22" ht="17.25" customHeight="1" x14ac:dyDescent="0.25">
      <c r="B15" s="115" t="s">
        <v>409</v>
      </c>
      <c r="C15" s="124"/>
      <c r="D15" s="119" t="s">
        <v>11</v>
      </c>
      <c r="E15" s="336" t="s">
        <v>584</v>
      </c>
      <c r="F15" s="337"/>
      <c r="G15" s="338"/>
      <c r="H15" s="121"/>
    </row>
    <row r="16" spans="2:22" ht="17.25" customHeight="1" thickBot="1" x14ac:dyDescent="0.3">
      <c r="B16" s="116" t="s">
        <v>13</v>
      </c>
      <c r="C16" s="125"/>
      <c r="D16" s="120" t="s">
        <v>14</v>
      </c>
      <c r="E16" s="350" t="s">
        <v>15</v>
      </c>
      <c r="F16" s="351"/>
      <c r="G16" s="352"/>
      <c r="H16" s="122"/>
    </row>
    <row r="17" spans="2:21" ht="15.75" thickBot="1" x14ac:dyDescent="0.3"/>
    <row r="18" spans="2:21" ht="17.25" customHeight="1" x14ac:dyDescent="0.25">
      <c r="B18" s="107" t="s">
        <v>16</v>
      </c>
      <c r="C18" s="114"/>
      <c r="D18" s="108" t="s">
        <v>17</v>
      </c>
      <c r="E18" s="353" t="s">
        <v>12</v>
      </c>
      <c r="F18" s="354"/>
      <c r="G18" s="355"/>
      <c r="H18" s="63"/>
    </row>
    <row r="19" spans="2:21" ht="17.25" customHeight="1" x14ac:dyDescent="0.25">
      <c r="B19" s="64" t="s">
        <v>18</v>
      </c>
      <c r="C19" s="59"/>
      <c r="D19" s="60" t="s">
        <v>19</v>
      </c>
      <c r="E19" s="356" t="s">
        <v>20</v>
      </c>
      <c r="F19" s="357"/>
      <c r="G19" s="358"/>
      <c r="H19" s="61"/>
    </row>
    <row r="20" spans="2:21" ht="17.25" customHeight="1" x14ac:dyDescent="0.25">
      <c r="B20" s="65" t="s">
        <v>21</v>
      </c>
      <c r="C20" s="59"/>
      <c r="D20" s="60" t="s">
        <v>22</v>
      </c>
      <c r="E20" s="356" t="s">
        <v>23</v>
      </c>
      <c r="F20" s="357"/>
      <c r="G20" s="358"/>
      <c r="H20" s="61"/>
    </row>
    <row r="21" spans="2:21" ht="17.25" customHeight="1" thickBot="1" x14ac:dyDescent="0.3">
      <c r="B21" s="66" t="s">
        <v>24</v>
      </c>
      <c r="C21" s="311" t="str">
        <f>IF(OR(C19="",C20=""),"-",C19*C20)</f>
        <v>-</v>
      </c>
      <c r="D21" s="67" t="s">
        <v>25</v>
      </c>
      <c r="E21" s="68" t="s">
        <v>26</v>
      </c>
      <c r="F21" s="69"/>
      <c r="G21" s="70"/>
      <c r="H21" s="62"/>
    </row>
    <row r="22" spans="2:21" ht="8.25" customHeight="1" x14ac:dyDescent="0.25"/>
    <row r="23" spans="2:21" x14ac:dyDescent="0.25">
      <c r="B23" s="71" t="str">
        <f>"REFERANSENIVÅ FOR UTSLIPP, "&amp; UPPER(Verktøy!C7)</f>
        <v>REFERANSENIVÅ FOR UTSLIPP, VELG BYGNINGSKATEGORI</v>
      </c>
      <c r="C23" s="72"/>
      <c r="D23" s="72"/>
      <c r="E23" s="72"/>
      <c r="F23" s="72"/>
      <c r="G23" s="72"/>
      <c r="H23" s="72"/>
      <c r="I23" s="72"/>
      <c r="J23" s="72"/>
      <c r="K23" s="72"/>
      <c r="L23" s="72"/>
      <c r="M23" s="72"/>
      <c r="N23" s="72"/>
      <c r="O23" s="72"/>
      <c r="P23" s="72"/>
      <c r="Q23" s="72"/>
      <c r="R23" s="72"/>
      <c r="S23" s="72"/>
      <c r="T23" s="72"/>
      <c r="U23" s="72"/>
    </row>
    <row r="24" spans="2:21" ht="7.5" customHeight="1" thickBot="1" x14ac:dyDescent="0.3"/>
    <row r="25" spans="2:21" ht="15.75" thickBot="1" x14ac:dyDescent="0.3">
      <c r="B25" s="379" t="s">
        <v>27</v>
      </c>
      <c r="C25" s="380"/>
      <c r="D25" s="380"/>
      <c r="E25" s="380"/>
      <c r="F25" s="380"/>
      <c r="G25" s="381"/>
      <c r="O25" s="359" t="str">
        <f>IF(C7=Nedtrekksmenyer!A1,"Velg bygningskategori","REFERANSENIVÅ FOR UTSLIPP, "&amp; UPPER(Verktøy!C7))</f>
        <v>Velg bygningskategori</v>
      </c>
      <c r="P25" s="360"/>
      <c r="Q25" s="360"/>
      <c r="R25" s="360"/>
      <c r="S25" s="360"/>
      <c r="T25" s="361"/>
      <c r="U25" s="145"/>
    </row>
    <row r="26" spans="2:21" ht="31.5" customHeight="1" thickBot="1" x14ac:dyDescent="0.4">
      <c r="B26" s="382"/>
      <c r="C26" s="383"/>
      <c r="D26" s="383"/>
      <c r="E26" s="383"/>
      <c r="F26" s="383"/>
      <c r="G26" s="384"/>
      <c r="O26" s="73" t="s">
        <v>401</v>
      </c>
      <c r="P26" s="74" t="s">
        <v>28</v>
      </c>
      <c r="Q26" s="75" t="s">
        <v>29</v>
      </c>
      <c r="R26" s="236" t="s">
        <v>564</v>
      </c>
      <c r="S26" s="76" t="s">
        <v>403</v>
      </c>
      <c r="T26" s="77" t="s">
        <v>33</v>
      </c>
    </row>
    <row r="27" spans="2:21" ht="14.45" customHeight="1" x14ac:dyDescent="0.35">
      <c r="B27" s="90"/>
      <c r="C27" s="389" t="str">
        <f>IF(T27=0,"-",T36)</f>
        <v>-</v>
      </c>
      <c r="D27" s="385" t="s">
        <v>557</v>
      </c>
      <c r="E27" s="385"/>
      <c r="F27" s="385"/>
      <c r="G27" s="386"/>
      <c r="O27" s="141" t="s">
        <v>34</v>
      </c>
      <c r="P27" s="239" t="str">
        <f>IF($C$7=Nedtrekksmenyer!$A$1,"-",'Detaljerte resultater'!C6)</f>
        <v>-</v>
      </c>
      <c r="Q27" s="240" t="str">
        <f>IF($C$7=Nedtrekksmenyer!$A$1,"-",'Detaljerte resultater'!D6)</f>
        <v>-</v>
      </c>
      <c r="R27" s="241" t="str">
        <f>IF($C$7=Nedtrekksmenyer!$A$1,"-",'Detaljerte resultater'!E6)</f>
        <v>-</v>
      </c>
      <c r="S27" s="241" t="str">
        <f>IF($C$7=Nedtrekksmenyer!$A$1,"-",'Detaljerte resultater'!F6)</f>
        <v>-</v>
      </c>
      <c r="T27" s="242">
        <f t="shared" ref="T27:T33" si="0">SUM(P27:S27)</f>
        <v>0</v>
      </c>
    </row>
    <row r="28" spans="2:21" ht="15" customHeight="1" thickBot="1" x14ac:dyDescent="0.4">
      <c r="B28" s="91"/>
      <c r="C28" s="390"/>
      <c r="D28" s="387"/>
      <c r="E28" s="387"/>
      <c r="F28" s="387"/>
      <c r="G28" s="388"/>
      <c r="O28" s="79" t="s">
        <v>35</v>
      </c>
      <c r="P28" s="243" t="str">
        <f>IF($C$7=Nedtrekksmenyer!$A$1,"-",'Detaljerte resultater'!C7)</f>
        <v>-</v>
      </c>
      <c r="Q28" s="244" t="str">
        <f>IF($C$7=Nedtrekksmenyer!$A$1,"-",'Detaljerte resultater'!D7)</f>
        <v>-</v>
      </c>
      <c r="R28" s="245" t="str">
        <f>IF($C$7=Nedtrekksmenyer!$A$1,"-",'Detaljerte resultater'!E7)</f>
        <v>-</v>
      </c>
      <c r="S28" s="245" t="str">
        <f>IF($C$7=Nedtrekksmenyer!$A$1,"-",'Detaljerte resultater'!F7)</f>
        <v>-</v>
      </c>
      <c r="T28" s="246">
        <f t="shared" si="0"/>
        <v>0</v>
      </c>
    </row>
    <row r="29" spans="2:21" ht="14.45" customHeight="1" x14ac:dyDescent="0.35">
      <c r="B29" s="92"/>
      <c r="C29" s="391" t="str">
        <f>IF($C$7=Nedtrekksmenyer!$A$1,"-",T37)</f>
        <v>-</v>
      </c>
      <c r="D29" s="385" t="s">
        <v>558</v>
      </c>
      <c r="E29" s="385"/>
      <c r="F29" s="385"/>
      <c r="G29" s="386"/>
      <c r="O29" s="79" t="s">
        <v>36</v>
      </c>
      <c r="P29" s="243" t="str">
        <f>IF($C$7=Nedtrekksmenyer!$A$1,"-",'Detaljerte resultater'!C8)</f>
        <v>-</v>
      </c>
      <c r="Q29" s="244" t="str">
        <f>IF($C$7=Nedtrekksmenyer!$A$1,"-",'Detaljerte resultater'!D8)</f>
        <v>-</v>
      </c>
      <c r="R29" s="245" t="str">
        <f>IF($C$7=Nedtrekksmenyer!$A$1,"-",'Detaljerte resultater'!E8)</f>
        <v>-</v>
      </c>
      <c r="S29" s="245" t="str">
        <f>IF($C$7=Nedtrekksmenyer!$A$1,"-",'Detaljerte resultater'!F8)</f>
        <v>-</v>
      </c>
      <c r="T29" s="246">
        <f t="shared" si="0"/>
        <v>0</v>
      </c>
    </row>
    <row r="30" spans="2:21" ht="15" customHeight="1" thickBot="1" x14ac:dyDescent="0.4">
      <c r="B30" s="96"/>
      <c r="C30" s="392"/>
      <c r="D30" s="387"/>
      <c r="E30" s="387"/>
      <c r="F30" s="387"/>
      <c r="G30" s="388"/>
      <c r="O30" s="79" t="s">
        <v>37</v>
      </c>
      <c r="P30" s="243" t="str">
        <f>IF($C$7=Nedtrekksmenyer!$A$1,"-",'Detaljerte resultater'!C9)</f>
        <v>-</v>
      </c>
      <c r="Q30" s="244" t="str">
        <f>IF($C$7=Nedtrekksmenyer!$A$1,"-",'Detaljerte resultater'!D9)</f>
        <v>-</v>
      </c>
      <c r="R30" s="245" t="str">
        <f>IF($C$7=Nedtrekksmenyer!$A$1,"-",'Detaljerte resultater'!E9)</f>
        <v>-</v>
      </c>
      <c r="S30" s="245" t="str">
        <f>IF($C$7=Nedtrekksmenyer!$A$1,"-",'Detaljerte resultater'!F9)</f>
        <v>-</v>
      </c>
      <c r="T30" s="246">
        <f t="shared" si="0"/>
        <v>0</v>
      </c>
    </row>
    <row r="31" spans="2:21" x14ac:dyDescent="0.25">
      <c r="O31" s="79" t="s">
        <v>38</v>
      </c>
      <c r="P31" s="247" t="str">
        <f>IF($C$7=Nedtrekksmenyer!$A$1,"-",'Detaljerte resultater'!C10)</f>
        <v>-</v>
      </c>
      <c r="Q31" s="248" t="str">
        <f>IF($C$7=Nedtrekksmenyer!$A$1,"-",'Detaljerte resultater'!D10)</f>
        <v>-</v>
      </c>
      <c r="R31" s="248" t="str">
        <f>IF($C$7=Nedtrekksmenyer!$A$1,"-",'Detaljerte resultater'!E10)</f>
        <v>-</v>
      </c>
      <c r="S31" s="249" t="str">
        <f>IF($C$7=Nedtrekksmenyer!$A$1,"-",'Detaljerte resultater'!F10)</f>
        <v>-</v>
      </c>
      <c r="T31" s="246">
        <f t="shared" si="0"/>
        <v>0</v>
      </c>
    </row>
    <row r="32" spans="2:21" x14ac:dyDescent="0.25">
      <c r="O32" s="79" t="s">
        <v>39</v>
      </c>
      <c r="P32" s="247" t="str">
        <f>IF($C$7=Nedtrekksmenyer!$A$1,"-",'Detaljerte resultater'!C11)</f>
        <v>-</v>
      </c>
      <c r="Q32" s="248" t="str">
        <f>IF($C$7=Nedtrekksmenyer!$A$1,"-",'Detaljerte resultater'!D11)</f>
        <v>-</v>
      </c>
      <c r="R32" s="248" t="str">
        <f>IF($C$7=Nedtrekksmenyer!$A$1,"-",'Detaljerte resultater'!E11)</f>
        <v>-</v>
      </c>
      <c r="S32" s="249" t="str">
        <f>IF($C$7=Nedtrekksmenyer!$A$1,"-",'Detaljerte resultater'!F11)</f>
        <v>-</v>
      </c>
      <c r="T32" s="246">
        <f t="shared" si="0"/>
        <v>0</v>
      </c>
    </row>
    <row r="33" spans="2:21" ht="15.75" thickBot="1" x14ac:dyDescent="0.3">
      <c r="O33" s="142" t="s">
        <v>489</v>
      </c>
      <c r="P33" s="247" t="str">
        <f>IF($C$7=Nedtrekksmenyer!$A$1,"-",'Detaljerte resultater'!C12)</f>
        <v>-</v>
      </c>
      <c r="Q33" s="248" t="str">
        <f>IF($C$7=Nedtrekksmenyer!$A$1,"-",'Detaljerte resultater'!D12)</f>
        <v>-</v>
      </c>
      <c r="R33" s="248" t="str">
        <f>IF($C$7=Nedtrekksmenyer!$A$1,"-",'Detaljerte resultater'!E12)</f>
        <v>-</v>
      </c>
      <c r="S33" s="249" t="str">
        <f>IF($C$7=Nedtrekksmenyer!$A$1,"-",'Detaljerte resultater'!F12)</f>
        <v>-</v>
      </c>
      <c r="T33" s="246">
        <f t="shared" si="0"/>
        <v>0</v>
      </c>
    </row>
    <row r="34" spans="2:21" ht="15.75" thickBot="1" x14ac:dyDescent="0.3">
      <c r="O34" s="73" t="s">
        <v>40</v>
      </c>
      <c r="P34" s="250" t="str">
        <f>IF($C$7=Nedtrekksmenyer!$A$1,"-",'Detaljerte resultater'!C13)</f>
        <v>-</v>
      </c>
      <c r="Q34" s="251" t="str">
        <f>IF($C$7=Nedtrekksmenyer!$A$1,"-",'Detaljerte resultater'!D13)</f>
        <v>-</v>
      </c>
      <c r="R34" s="251" t="str">
        <f>IF($C$7=Nedtrekksmenyer!$A$1,"-",'Detaljerte resultater'!E13)</f>
        <v>-</v>
      </c>
      <c r="S34" s="252" t="str">
        <f>IF($C$7=Nedtrekksmenyer!$A$1,"-",'Detaljerte resultater'!F13)</f>
        <v>-</v>
      </c>
      <c r="T34" s="253">
        <f>SUM(P34:S34)</f>
        <v>0</v>
      </c>
    </row>
    <row r="35" spans="2:21" ht="15.75" thickBot="1" x14ac:dyDescent="0.3"/>
    <row r="36" spans="2:21" ht="19.5" thickBot="1" x14ac:dyDescent="0.4">
      <c r="O36" s="80" t="s">
        <v>559</v>
      </c>
      <c r="P36" s="254" t="str">
        <f>IFERROR(IF(P34=0,"-",P39*50),"-")</f>
        <v>-</v>
      </c>
      <c r="Q36" s="254" t="str">
        <f>IFERROR(IF(Q34=0,"-",Q39*50),"-")</f>
        <v>-</v>
      </c>
      <c r="R36" s="254" t="str">
        <f>IFERROR(IF(R34=0,"-",R39*50),"-")</f>
        <v>-</v>
      </c>
      <c r="S36" s="254" t="str">
        <f>IFERROR(IF(S34=0,"-",S39*50),"-")</f>
        <v>-</v>
      </c>
      <c r="T36" s="255" t="str">
        <f>IFERROR(T39*50,"-")</f>
        <v>-</v>
      </c>
    </row>
    <row r="37" spans="2:21" hidden="1" x14ac:dyDescent="0.25">
      <c r="O37" s="81" t="s">
        <v>556</v>
      </c>
      <c r="P37" s="256" t="e">
        <f>P38*50</f>
        <v>#VALUE!</v>
      </c>
      <c r="Q37" s="256" t="e">
        <f t="shared" ref="Q37:T37" si="1">Q38*50</f>
        <v>#VALUE!</v>
      </c>
      <c r="R37" s="256" t="e">
        <f t="shared" si="1"/>
        <v>#VALUE!</v>
      </c>
      <c r="S37" s="256" t="e">
        <f t="shared" si="1"/>
        <v>#VALUE!</v>
      </c>
      <c r="T37" s="256">
        <f t="shared" si="1"/>
        <v>0</v>
      </c>
    </row>
    <row r="38" spans="2:21" hidden="1" x14ac:dyDescent="0.25">
      <c r="O38" s="81" t="s">
        <v>41</v>
      </c>
      <c r="P38" s="256" t="str">
        <f>IF($C$7=Nedtrekksmenyer!$A$1,"-",IF($C$7=Nedtrekksmenyer!$A$12,(Verktøy!P34-P27)*1000/($C$12+$C$9+$C$10)/50,(Verktøy!P34-P27)*1000/($C$8+$C$9+$C$10)/50))</f>
        <v>-</v>
      </c>
      <c r="Q38" s="256" t="str">
        <f>IF($C$7=Nedtrekksmenyer!$A$1,"-",IF($C$7=Nedtrekksmenyer!$A$12,(Verktøy!Q34-Q27)*1000/($C$12+$C$9+$C$10)/50,(Verktøy!Q34-Q27)*1000/($C$8+$C$9+$C$10)/50))</f>
        <v>-</v>
      </c>
      <c r="R38" s="256" t="str">
        <f>IF($C$7=Nedtrekksmenyer!$A$1,"-",IF($C$7=Nedtrekksmenyer!$A$12,(Verktøy!R34-R27)*1000/($C$12+$C$9+$C$10)/50,(Verktøy!R34-R27)*1000/($C$8+$C$9+$C$10)/50))</f>
        <v>-</v>
      </c>
      <c r="S38" s="256" t="str">
        <f>IF($C$7=Nedtrekksmenyer!$A$1,"-",IF($C$7=Nedtrekksmenyer!$A$12,(Verktøy!S34-S27)*1000/($C$12+$C$9+$C$10)/50,(Verktøy!S34-S27)*1000/($C$8+$C$9+$C$10)/50))</f>
        <v>-</v>
      </c>
      <c r="T38" s="256">
        <f>SUM(P38:S38)</f>
        <v>0</v>
      </c>
    </row>
    <row r="39" spans="2:21" ht="19.5" thickBot="1" x14ac:dyDescent="0.4">
      <c r="O39" s="80" t="s">
        <v>560</v>
      </c>
      <c r="P39" s="256" t="str">
        <f>IF(P34=0,"-",IF($C$7=Nedtrekksmenyer!$A$1,"-",IF($C$7=Nedtrekksmenyer!$A$12,Verktøy!P34*1000/($C$12+$C$9+$C$10)/50,Verktøy!P34*1000/($C$8+$C$9+$C$10)/50)))</f>
        <v>-</v>
      </c>
      <c r="Q39" s="256" t="str">
        <f>IF(Q34=0,"-",IF($C$7=Nedtrekksmenyer!$A$1,"-",IF($C$7=Nedtrekksmenyer!$A$12,Verktøy!Q34*1000/($C$12+$C$9+$C$10)/50,Verktøy!Q34*1000/($C$8+$C$9+$C$10)/50)))</f>
        <v>-</v>
      </c>
      <c r="R39" s="256" t="str">
        <f>IF(R34=0,"-",IF($C$7=Nedtrekksmenyer!$A$1,"-",IF($C$7=Nedtrekksmenyer!$A$12,Verktøy!R34*1000/($C$12+$C$9+$C$10)/50,Verktøy!R34*1000/($C$8+$C$9+$C$10)/50)))</f>
        <v>-</v>
      </c>
      <c r="S39" s="256" t="str">
        <f>IF(S34=0,"-",IF($C$7=Nedtrekksmenyer!$A$1,"-",IF($C$7=Nedtrekksmenyer!$A$12,Verktøy!S34*1000/($C$12+$C$9+$C$10)/50,Verktøy!S34*1000/($C$8+$C$9+$C$10)/50)))</f>
        <v>-</v>
      </c>
      <c r="T39" s="257" t="str">
        <f>IF($C$7=Nedtrekksmenyer!$A$1,"-",SUM(P39:S39))</f>
        <v>-</v>
      </c>
    </row>
    <row r="40" spans="2:21" hidden="1" x14ac:dyDescent="0.25">
      <c r="O40" s="79" t="s">
        <v>42</v>
      </c>
      <c r="P40" s="256" t="str">
        <f>IF($C$7=Nedtrekksmenyer!$A$1,"-",IF($C$18=0,"-",(P34-P27)/$C$18/50*1000))</f>
        <v>-</v>
      </c>
      <c r="Q40" s="256" t="str">
        <f>IF($C$7=Nedtrekksmenyer!$A$1,"-",IF($C$18=0,"-",(Q34-Q27)/$C$18/50*1000))</f>
        <v>-</v>
      </c>
      <c r="R40" s="256" t="str">
        <f>IF($C$7=Nedtrekksmenyer!$A$1,"-",IF($C$18=0,"-",(R34-R27)/$C$18/50*1000))</f>
        <v>-</v>
      </c>
      <c r="S40" s="256" t="str">
        <f>IF($C$7=Nedtrekksmenyer!$A$1,"-",IF($C$18=0,"-",(S34-S27)/$C$18/50*1000))</f>
        <v>-</v>
      </c>
      <c r="T40" s="257" t="str">
        <f>IF($C$7=Nedtrekksmenyer!$A$1,"-",SUM(P40:S40))</f>
        <v>-</v>
      </c>
    </row>
    <row r="41" spans="2:21" ht="18.75" x14ac:dyDescent="0.35">
      <c r="O41" s="80" t="s">
        <v>561</v>
      </c>
      <c r="P41" s="258" t="str">
        <f>IF($C$7=Nedtrekksmenyer!$A$1,"-",IF($C$18=0,"-",P34/$C$18/50*1000))</f>
        <v>-</v>
      </c>
      <c r="Q41" s="258" t="str">
        <f>IF($C$7=Nedtrekksmenyer!$A$1,"-",IF($C$18=0,"-",Q34/$C$18/50*1000))</f>
        <v>-</v>
      </c>
      <c r="R41" s="258" t="str">
        <f>IF($C$7=Nedtrekksmenyer!$A$1,"-",IF($C$18=0,"-",R34/$C$18/50*1000))</f>
        <v>-</v>
      </c>
      <c r="S41" s="258" t="str">
        <f>IF($C$7=Nedtrekksmenyer!$A$1,"-",IF($C$18=0,"-",S34/$C$18/50*1000))</f>
        <v>-</v>
      </c>
      <c r="T41" s="259" t="str">
        <f>IF($C$7=Nedtrekksmenyer!$A$1,"-",SUM(P41:S41))</f>
        <v>-</v>
      </c>
    </row>
    <row r="42" spans="2:21" ht="15.75" hidden="1" thickBot="1" x14ac:dyDescent="0.3">
      <c r="O42" s="86" t="s">
        <v>546</v>
      </c>
      <c r="P42" s="260" t="str">
        <f>IF($C$7=Nedtrekksmenyer!$A$1,"-",IF($C$20=0,"-",(P34-P27)/$C$21/50*1000*1000))</f>
        <v>-</v>
      </c>
      <c r="Q42" s="260" t="str">
        <f>IF($C$7=Nedtrekksmenyer!$A$1,"-",IF($C$20=0,"-",(Q34-Q27)/$C$21/50*1000*1000))</f>
        <v>-</v>
      </c>
      <c r="R42" s="260" t="str">
        <f>IF($C$7=Nedtrekksmenyer!$A$1,"-",IF($C$20=0,"-",(R34-R27)/$C$21/50*1000*1000))</f>
        <v>-</v>
      </c>
      <c r="S42" s="260" t="str">
        <f>IF($C$7=Nedtrekksmenyer!$A$1,"-",IF($C$20=0,"-",(S34-S27)/$C$21/50*1000*1000))</f>
        <v>-</v>
      </c>
      <c r="T42" s="259" t="str">
        <f>IF($C$7=Nedtrekksmenyer!$A$1,"-",SUM(P42:S42))</f>
        <v>-</v>
      </c>
    </row>
    <row r="43" spans="2:21" ht="18.75" thickBot="1" x14ac:dyDescent="0.4">
      <c r="O43" s="86" t="s">
        <v>562</v>
      </c>
      <c r="P43" s="261" t="str">
        <f>IF($C$7=Nedtrekksmenyer!$A$1,"-",IF($C$20=0,"-",P34/$C$21/50*1000*1000))</f>
        <v>-</v>
      </c>
      <c r="Q43" s="261" t="str">
        <f>IF($C$7=Nedtrekksmenyer!$A$1,"-",IF($C$20=0,"-",Q34/$C$21/50*1000*1000))</f>
        <v>-</v>
      </c>
      <c r="R43" s="261" t="str">
        <f>IF($C$7=Nedtrekksmenyer!$A$1,"-",IF($C$20=0,"-",R34/$C$21/50*1000*1000))</f>
        <v>-</v>
      </c>
      <c r="S43" s="261" t="str">
        <f>IF($C$7=Nedtrekksmenyer!$A$1,"-",IF($C$20=0,"-",S34/$C$21/50*1000*1000))</f>
        <v>-</v>
      </c>
      <c r="T43" s="262" t="str">
        <f>IF($C$7=Nedtrekksmenyer!$A$1,"-",SUM(P43:S43))</f>
        <v>-</v>
      </c>
    </row>
    <row r="44" spans="2:21" ht="9.75" customHeight="1" x14ac:dyDescent="0.25"/>
    <row r="45" spans="2:21" x14ac:dyDescent="0.25">
      <c r="B45" s="85" t="str">
        <f>"UTSLIPPSRAMME FOR "&amp;UPPER(Verktøy!C7)</f>
        <v>UTSLIPPSRAMME FOR VELG BYGNINGSKATEGORI</v>
      </c>
      <c r="C45" s="84"/>
      <c r="D45" s="84"/>
      <c r="E45" s="84"/>
      <c r="F45" s="84"/>
      <c r="G45" s="84"/>
      <c r="H45" s="84"/>
      <c r="I45" s="84"/>
      <c r="J45" s="84"/>
      <c r="K45" s="84"/>
      <c r="L45" s="84"/>
      <c r="M45" s="84"/>
      <c r="N45" s="84"/>
      <c r="O45" s="84"/>
      <c r="P45" s="84"/>
      <c r="Q45" s="84"/>
      <c r="R45" s="84"/>
      <c r="S45" s="84"/>
      <c r="T45" s="84"/>
      <c r="U45" s="84"/>
    </row>
    <row r="46" spans="2:21" ht="7.5" customHeight="1" thickBot="1" x14ac:dyDescent="0.3"/>
    <row r="47" spans="2:21" ht="15.75" thickBot="1" x14ac:dyDescent="0.3">
      <c r="B47" s="97" t="s">
        <v>404</v>
      </c>
      <c r="C47" s="106"/>
      <c r="D47" s="103"/>
      <c r="U47" s="145"/>
    </row>
    <row r="48" spans="2:21" ht="15" customHeight="1" thickBot="1" x14ac:dyDescent="0.3">
      <c r="C48" s="185"/>
      <c r="D48" s="103"/>
      <c r="U48" s="145"/>
    </row>
    <row r="49" spans="2:26" ht="15" customHeight="1" x14ac:dyDescent="0.25">
      <c r="B49" s="367" t="s">
        <v>539</v>
      </c>
      <c r="C49" s="368"/>
      <c r="D49" s="369"/>
    </row>
    <row r="50" spans="2:26" ht="15" customHeight="1" thickBot="1" x14ac:dyDescent="0.3">
      <c r="B50" s="370"/>
      <c r="C50" s="371"/>
      <c r="D50" s="372"/>
    </row>
    <row r="51" spans="2:26" ht="15.75" customHeight="1" thickBot="1" x14ac:dyDescent="0.3">
      <c r="B51" s="130" t="s">
        <v>565</v>
      </c>
      <c r="C51" s="130" t="s">
        <v>45</v>
      </c>
      <c r="D51" s="131" t="str">
        <f>IF(C47=Nedtrekksmenyer!E14,"-",C47*100&amp;" % reduksjon")</f>
        <v>-</v>
      </c>
    </row>
    <row r="52" spans="2:26" ht="15" customHeight="1" x14ac:dyDescent="0.25">
      <c r="B52" s="362" t="s">
        <v>566</v>
      </c>
      <c r="C52" s="373" t="str">
        <f>IF($C$7=Nedtrekksmenyer!$A$1,"-",C56*50)</f>
        <v>-</v>
      </c>
      <c r="D52" s="373" t="str">
        <f>IF($C$47=Nedtrekksmenyer!$E$14,"-",D56*50)</f>
        <v>-</v>
      </c>
      <c r="E52" s="375"/>
      <c r="F52" s="376"/>
      <c r="G52" s="103"/>
      <c r="V52" s="184"/>
      <c r="W52" s="184"/>
      <c r="X52" s="184"/>
      <c r="Y52" s="184"/>
      <c r="Z52" s="95"/>
    </row>
    <row r="53" spans="2:26" ht="15.75" customHeight="1" thickBot="1" x14ac:dyDescent="0.3">
      <c r="B53" s="363"/>
      <c r="C53" s="374"/>
      <c r="D53" s="374"/>
      <c r="E53" s="375"/>
      <c r="F53" s="376"/>
      <c r="G53" s="103"/>
      <c r="V53" s="184"/>
      <c r="W53" s="184"/>
      <c r="X53" s="184"/>
      <c r="Y53" s="184"/>
      <c r="Z53" s="95"/>
    </row>
    <row r="54" spans="2:26" ht="15.75" thickBot="1" x14ac:dyDescent="0.3">
      <c r="B54" s="364" t="s">
        <v>410</v>
      </c>
      <c r="C54" s="365"/>
      <c r="D54" s="366"/>
      <c r="E54" s="103"/>
      <c r="F54" s="103"/>
      <c r="G54" s="103"/>
      <c r="V54" s="184"/>
      <c r="W54" s="184"/>
      <c r="X54" s="184"/>
      <c r="Y54" s="184"/>
      <c r="Z54" s="95"/>
    </row>
    <row r="55" spans="2:26" ht="30" x14ac:dyDescent="0.25">
      <c r="B55" s="233" t="str">
        <f>IF($C$7="Industri","Sum " &amp;C8+C9+C10 &amp; " m2 BYA " &amp; LOWER(C7),"Sum " &amp;C8+C9+C10 &amp; " m2 BTA " &amp; LOWER(C7))&amp; " (tonn CO2-ekv. over 50 år)"</f>
        <v>Sum 0 m2 BTA velg bygningskategori (tonn CO2-ekv. over 50 år)</v>
      </c>
      <c r="C55" s="263" t="str">
        <f>IF($C$7=Nedtrekksmenyer!$A$1,"-",T34-T27)</f>
        <v>-</v>
      </c>
      <c r="D55" s="264" t="str">
        <f>IF($C$47=Nedtrekksmenyer!$E$14,"-",C55*(1-$C$47))</f>
        <v>-</v>
      </c>
      <c r="E55" s="103"/>
      <c r="F55" s="103"/>
      <c r="G55" s="103"/>
      <c r="V55" s="184"/>
      <c r="W55" s="184"/>
      <c r="X55" s="184"/>
      <c r="Y55" s="184"/>
      <c r="Z55" s="95"/>
    </row>
    <row r="56" spans="2:26" ht="18.75" x14ac:dyDescent="0.35">
      <c r="B56" s="128" t="s">
        <v>567</v>
      </c>
      <c r="C56" s="265" t="str">
        <f>IF($C$7=Nedtrekksmenyer!$A$1,"-",$T$38)</f>
        <v>-</v>
      </c>
      <c r="D56" s="266" t="str">
        <f>IF($C$47=Nedtrekksmenyer!$E$14,"-",C56*(1-$C$47))</f>
        <v>-</v>
      </c>
      <c r="E56" s="103"/>
      <c r="F56" s="103"/>
      <c r="G56" s="103"/>
      <c r="V56" s="184"/>
      <c r="W56" s="184"/>
      <c r="X56" s="184"/>
      <c r="Y56" s="184"/>
      <c r="Z56" s="95"/>
    </row>
    <row r="57" spans="2:26" ht="18.75" x14ac:dyDescent="0.25">
      <c r="B57" s="237" t="s">
        <v>568</v>
      </c>
      <c r="C57" s="267" t="str">
        <f>IF($C$7=Nedtrekksmenyer!$A$1,"-",$T$40)</f>
        <v>-</v>
      </c>
      <c r="D57" s="268" t="str">
        <f>IF($C$47=Nedtrekksmenyer!$E$14,"-",C57*(1-$C$47))</f>
        <v>-</v>
      </c>
      <c r="E57" s="103"/>
      <c r="F57" s="103"/>
      <c r="G57" s="103"/>
      <c r="V57" s="184"/>
      <c r="W57" s="184"/>
      <c r="X57" s="184"/>
      <c r="Y57" s="184"/>
      <c r="Z57" s="95"/>
    </row>
    <row r="58" spans="2:26" ht="18.75" thickBot="1" x14ac:dyDescent="0.4">
      <c r="B58" s="129" t="s">
        <v>569</v>
      </c>
      <c r="C58" s="269" t="str">
        <f>IF($C$7=Nedtrekksmenyer!$A$1,"-",$T$42)</f>
        <v>-</v>
      </c>
      <c r="D58" s="270" t="str">
        <f>IF($C$47=Nedtrekksmenyer!$E$14,"-",C58*(1-$C$47))</f>
        <v>-</v>
      </c>
      <c r="E58" s="103"/>
      <c r="F58" s="103"/>
      <c r="G58" s="103"/>
      <c r="H58" s="103"/>
      <c r="I58" s="103"/>
      <c r="J58" s="103"/>
      <c r="K58" s="103"/>
      <c r="L58" s="103"/>
      <c r="M58" s="103"/>
      <c r="V58" s="335"/>
      <c r="W58" s="335"/>
      <c r="X58" s="335"/>
      <c r="Y58" s="335"/>
      <c r="Z58" s="335"/>
    </row>
    <row r="59" spans="2:26" x14ac:dyDescent="0.25">
      <c r="E59" s="103"/>
      <c r="F59" s="103"/>
      <c r="G59" s="103"/>
      <c r="H59" s="103"/>
    </row>
    <row r="60" spans="2:26" x14ac:dyDescent="0.25">
      <c r="F60" s="103"/>
      <c r="G60" s="103"/>
      <c r="H60" s="103"/>
      <c r="J60" s="103"/>
      <c r="K60" s="103"/>
      <c r="L60" s="103"/>
      <c r="M60" s="103"/>
      <c r="O60"/>
      <c r="P60" s="154"/>
      <c r="Q60" s="154"/>
      <c r="R60" s="154"/>
      <c r="S60" s="154"/>
      <c r="T60" s="154"/>
    </row>
    <row r="61" spans="2:26" x14ac:dyDescent="0.25">
      <c r="F61" s="103"/>
      <c r="G61" s="103"/>
      <c r="P61" s="154"/>
      <c r="Q61" s="154"/>
      <c r="R61" s="154"/>
      <c r="S61" s="154"/>
      <c r="T61" s="154"/>
    </row>
    <row r="62" spans="2:26" x14ac:dyDescent="0.25">
      <c r="F62" s="103"/>
      <c r="G62" s="103"/>
      <c r="P62" s="154"/>
      <c r="Q62" s="154"/>
      <c r="R62" s="154"/>
      <c r="S62" s="154"/>
      <c r="T62" s="154"/>
    </row>
    <row r="63" spans="2:26" x14ac:dyDescent="0.25">
      <c r="F63" s="103"/>
      <c r="G63" s="103"/>
      <c r="P63" s="154"/>
      <c r="Q63" s="154"/>
      <c r="R63" s="154"/>
      <c r="S63" s="154"/>
      <c r="T63" s="154"/>
    </row>
    <row r="64" spans="2:26" x14ac:dyDescent="0.25">
      <c r="F64" s="103"/>
      <c r="G64" s="103"/>
      <c r="P64" s="154"/>
      <c r="Q64" s="154"/>
      <c r="R64" s="154"/>
      <c r="S64" s="154"/>
      <c r="T64" s="154"/>
    </row>
    <row r="65" spans="2:20" x14ac:dyDescent="0.25">
      <c r="E65" s="103"/>
      <c r="F65" s="103"/>
      <c r="G65" s="103"/>
      <c r="H65" s="154"/>
      <c r="I65" s="154"/>
      <c r="J65" s="154"/>
      <c r="K65" s="154"/>
      <c r="L65" s="154"/>
      <c r="M65" s="154"/>
      <c r="P65" s="154"/>
      <c r="Q65" s="154"/>
      <c r="R65" s="154"/>
      <c r="S65" s="154"/>
      <c r="T65" s="154"/>
    </row>
    <row r="66" spans="2:20" x14ac:dyDescent="0.25">
      <c r="C66" s="157" t="s">
        <v>45</v>
      </c>
      <c r="D66" s="238" t="str">
        <f>IF(C47=Nedtrekksmenyer!E14,"-",C47*100&amp;" % reduksjon")</f>
        <v>-</v>
      </c>
      <c r="E66" s="103"/>
      <c r="F66" s="103"/>
      <c r="G66" s="103"/>
      <c r="H66" s="154"/>
      <c r="I66" s="154"/>
      <c r="J66" s="154"/>
      <c r="K66" s="154"/>
      <c r="L66" s="154"/>
      <c r="M66" s="154"/>
      <c r="P66" s="154"/>
      <c r="Q66" s="154"/>
      <c r="R66" s="154"/>
      <c r="S66" s="154"/>
      <c r="T66" s="154"/>
    </row>
    <row r="67" spans="2:20" x14ac:dyDescent="0.25">
      <c r="C67" s="155" t="str">
        <f>C52</f>
        <v>-</v>
      </c>
      <c r="D67" s="155" t="e">
        <f>D52-C52</f>
        <v>#VALUE!</v>
      </c>
      <c r="E67" s="103"/>
      <c r="F67" s="103"/>
      <c r="G67" s="103"/>
      <c r="H67" s="154"/>
      <c r="I67" s="154"/>
      <c r="J67" s="154"/>
      <c r="K67" s="154"/>
      <c r="L67" s="154"/>
      <c r="M67" s="154"/>
    </row>
    <row r="68" spans="2:20" x14ac:dyDescent="0.25">
      <c r="B68" s="103"/>
      <c r="C68" s="155" t="str">
        <f>C52</f>
        <v>-</v>
      </c>
      <c r="D68" s="156" t="str">
        <f>IF(C47=Nedtrekksmenyer!E14,"0",D52-C52)</f>
        <v>0</v>
      </c>
      <c r="F68" s="103"/>
      <c r="G68" s="103"/>
      <c r="H68" s="154"/>
      <c r="I68" s="154"/>
      <c r="J68" s="154"/>
      <c r="K68" s="154"/>
      <c r="L68" s="154"/>
      <c r="M68" s="154"/>
    </row>
    <row r="69" spans="2:20" x14ac:dyDescent="0.25">
      <c r="H69" s="154"/>
      <c r="I69" s="154"/>
      <c r="J69" s="154"/>
      <c r="K69" s="154"/>
      <c r="L69" s="154"/>
      <c r="M69" s="154"/>
    </row>
    <row r="70" spans="2:20" x14ac:dyDescent="0.25">
      <c r="B70" s="103"/>
      <c r="C70" s="103"/>
      <c r="D70" s="103"/>
      <c r="H70" s="154"/>
      <c r="I70" s="154"/>
      <c r="J70" s="154"/>
      <c r="K70" s="154"/>
      <c r="L70" s="154"/>
      <c r="M70" s="154"/>
    </row>
    <row r="71" spans="2:20" x14ac:dyDescent="0.25">
      <c r="B71" s="103"/>
      <c r="C71" s="103"/>
      <c r="D71" s="103"/>
      <c r="H71" s="154"/>
      <c r="I71" s="154"/>
      <c r="J71" s="154"/>
      <c r="K71" s="154"/>
      <c r="L71" s="154"/>
      <c r="M71" s="154"/>
    </row>
    <row r="72" spans="2:20" x14ac:dyDescent="0.25">
      <c r="B72" s="103"/>
      <c r="C72" s="103"/>
      <c r="D72" s="103"/>
    </row>
    <row r="73" spans="2:20" x14ac:dyDescent="0.25">
      <c r="B73" s="103"/>
      <c r="C73" s="103"/>
      <c r="D73" s="103"/>
    </row>
    <row r="74" spans="2:20" x14ac:dyDescent="0.25"/>
    <row r="75" spans="2:20" x14ac:dyDescent="0.25">
      <c r="B75" s="103"/>
      <c r="C75" s="103"/>
      <c r="D75" s="103"/>
    </row>
    <row r="76" spans="2:20" x14ac:dyDescent="0.25">
      <c r="B76" s="103"/>
      <c r="C76" s="103"/>
      <c r="D76" s="103"/>
    </row>
    <row r="77" spans="2:20" x14ac:dyDescent="0.25">
      <c r="B77" s="103"/>
      <c r="C77" s="103"/>
      <c r="D77" s="103"/>
    </row>
    <row r="78" spans="2:20" hidden="1" x14ac:dyDescent="0.25">
      <c r="B78" s="152" t="s">
        <v>538</v>
      </c>
      <c r="C78" s="157"/>
      <c r="D78" s="157"/>
    </row>
    <row r="79" spans="2:20" hidden="1" x14ac:dyDescent="0.25">
      <c r="B79" s="377" t="s">
        <v>411</v>
      </c>
      <c r="C79" s="377"/>
      <c r="D79" s="377"/>
    </row>
    <row r="80" spans="2:20" hidden="1" x14ac:dyDescent="0.25">
      <c r="B80" s="157"/>
      <c r="C80" s="157"/>
      <c r="D80" s="157"/>
    </row>
    <row r="81" spans="2:6" ht="15.75" hidden="1" thickBot="1" x14ac:dyDescent="0.3"/>
    <row r="82" spans="2:6" hidden="1" x14ac:dyDescent="0.25">
      <c r="B82" s="158"/>
      <c r="C82" s="159">
        <v>0.2</v>
      </c>
      <c r="D82" s="159">
        <v>0.3</v>
      </c>
      <c r="E82" s="159">
        <v>0.4</v>
      </c>
      <c r="F82" s="160">
        <v>0.6</v>
      </c>
    </row>
    <row r="83" spans="2:6" hidden="1" x14ac:dyDescent="0.25">
      <c r="B83" s="161" t="s">
        <v>56</v>
      </c>
      <c r="C83" s="162" t="s">
        <v>412</v>
      </c>
      <c r="D83" s="162" t="s">
        <v>412</v>
      </c>
      <c r="E83" s="162" t="s">
        <v>412</v>
      </c>
      <c r="F83" s="163" t="s">
        <v>412</v>
      </c>
    </row>
    <row r="84" spans="2:6" hidden="1" x14ac:dyDescent="0.25">
      <c r="B84" s="161" t="s">
        <v>58</v>
      </c>
      <c r="C84" s="162" t="s">
        <v>412</v>
      </c>
      <c r="D84" s="162" t="s">
        <v>412</v>
      </c>
      <c r="E84" s="162" t="s">
        <v>412</v>
      </c>
      <c r="F84" s="163" t="s">
        <v>412</v>
      </c>
    </row>
    <row r="85" spans="2:6" hidden="1" x14ac:dyDescent="0.25">
      <c r="B85" s="161" t="s">
        <v>57</v>
      </c>
      <c r="C85" s="162"/>
      <c r="D85" s="162" t="s">
        <v>412</v>
      </c>
      <c r="E85" s="162" t="s">
        <v>412</v>
      </c>
      <c r="F85" s="163" t="s">
        <v>412</v>
      </c>
    </row>
    <row r="86" spans="2:6" hidden="1" x14ac:dyDescent="0.25">
      <c r="B86" s="161" t="s">
        <v>59</v>
      </c>
      <c r="C86" s="162"/>
      <c r="D86" s="162" t="s">
        <v>412</v>
      </c>
      <c r="E86" s="162" t="s">
        <v>412</v>
      </c>
      <c r="F86" s="163" t="s">
        <v>412</v>
      </c>
    </row>
    <row r="87" spans="2:6" hidden="1" x14ac:dyDescent="0.25">
      <c r="B87" s="161" t="s">
        <v>62</v>
      </c>
      <c r="C87" s="162"/>
      <c r="D87" s="162" t="s">
        <v>412</v>
      </c>
      <c r="E87" s="162" t="s">
        <v>412</v>
      </c>
      <c r="F87" s="163" t="s">
        <v>412</v>
      </c>
    </row>
    <row r="88" spans="2:6" hidden="1" x14ac:dyDescent="0.25">
      <c r="B88" s="161" t="s">
        <v>397</v>
      </c>
      <c r="C88" s="162"/>
      <c r="D88" s="162"/>
      <c r="E88" s="162" t="s">
        <v>412</v>
      </c>
      <c r="F88" s="163" t="s">
        <v>412</v>
      </c>
    </row>
    <row r="89" spans="2:6" ht="30.75" hidden="1" thickBot="1" x14ac:dyDescent="0.3">
      <c r="B89" s="164" t="s">
        <v>63</v>
      </c>
      <c r="C89" s="165"/>
      <c r="D89" s="166"/>
      <c r="E89" s="166"/>
      <c r="F89" s="167" t="s">
        <v>412</v>
      </c>
    </row>
    <row r="95" spans="2:6" hidden="1" x14ac:dyDescent="0.25">
      <c r="C95" s="94">
        <v>100</v>
      </c>
    </row>
    <row r="100" spans="2:7" ht="15.75" hidden="1" thickBot="1" x14ac:dyDescent="0.3">
      <c r="B100" s="168" t="s">
        <v>480</v>
      </c>
      <c r="C100" s="169" t="s">
        <v>45</v>
      </c>
      <c r="D100" s="170">
        <v>0.2</v>
      </c>
      <c r="E100" s="171">
        <v>0.3</v>
      </c>
      <c r="F100" s="170">
        <v>0.4</v>
      </c>
      <c r="G100" s="171">
        <v>0.6</v>
      </c>
    </row>
    <row r="101" spans="2:7" ht="30" hidden="1" x14ac:dyDescent="0.25">
      <c r="B101" s="172" t="s">
        <v>481</v>
      </c>
      <c r="C101" s="173"/>
      <c r="D101" s="174">
        <f>($F$11*$G$17)/2</f>
        <v>0</v>
      </c>
      <c r="E101" s="175">
        <f>($F$11*$H$17)/5</f>
        <v>0</v>
      </c>
      <c r="F101" s="174"/>
      <c r="G101" s="175"/>
    </row>
    <row r="102" spans="2:7" hidden="1" x14ac:dyDescent="0.25">
      <c r="B102" s="176" t="s">
        <v>482</v>
      </c>
      <c r="C102" s="177"/>
      <c r="D102" s="178">
        <f>($F$11*$G$17)/2</f>
        <v>0</v>
      </c>
      <c r="E102" s="179">
        <f t="shared" ref="E102:E105" si="2">($F$11*$H$17)/5</f>
        <v>0</v>
      </c>
      <c r="F102" s="178"/>
      <c r="G102" s="179"/>
    </row>
    <row r="103" spans="2:7" hidden="1" x14ac:dyDescent="0.25">
      <c r="B103" s="176" t="s">
        <v>57</v>
      </c>
      <c r="C103" s="177"/>
      <c r="D103" s="178"/>
      <c r="E103" s="179">
        <f>($F$11*$H$17)/5</f>
        <v>0</v>
      </c>
      <c r="F103" s="178">
        <f>($F$11*$I$17)/4</f>
        <v>0</v>
      </c>
      <c r="G103" s="179">
        <f>($F$11*$J$17)/4</f>
        <v>0</v>
      </c>
    </row>
    <row r="104" spans="2:7" hidden="1" x14ac:dyDescent="0.25">
      <c r="B104" s="176" t="s">
        <v>60</v>
      </c>
      <c r="C104" s="177"/>
      <c r="D104" s="178"/>
      <c r="E104" s="179">
        <f t="shared" si="2"/>
        <v>0</v>
      </c>
      <c r="F104" s="178">
        <f t="shared" ref="F104:F106" si="3">($F$11*$I$17)/4</f>
        <v>0</v>
      </c>
      <c r="G104" s="179">
        <f t="shared" ref="G104:G105" si="4">($F$11*$J$17)/4</f>
        <v>0</v>
      </c>
    </row>
    <row r="105" spans="2:7" hidden="1" x14ac:dyDescent="0.25">
      <c r="B105" s="176" t="s">
        <v>62</v>
      </c>
      <c r="C105" s="177"/>
      <c r="D105" s="178"/>
      <c r="E105" s="179">
        <f t="shared" si="2"/>
        <v>0</v>
      </c>
      <c r="F105" s="178">
        <f t="shared" si="3"/>
        <v>0</v>
      </c>
      <c r="G105" s="179">
        <f t="shared" si="4"/>
        <v>0</v>
      </c>
    </row>
    <row r="106" spans="2:7" hidden="1" x14ac:dyDescent="0.25">
      <c r="B106" s="176" t="s">
        <v>483</v>
      </c>
      <c r="C106" s="177"/>
      <c r="D106" s="178"/>
      <c r="E106" s="179"/>
      <c r="F106" s="178">
        <f t="shared" si="3"/>
        <v>0</v>
      </c>
      <c r="G106" s="179"/>
    </row>
    <row r="107" spans="2:7" ht="30.75" hidden="1" thickBot="1" x14ac:dyDescent="0.3">
      <c r="B107" s="180" t="s">
        <v>484</v>
      </c>
      <c r="C107" s="181"/>
      <c r="D107" s="182"/>
      <c r="E107" s="183"/>
      <c r="F107" s="182"/>
      <c r="G107" s="183">
        <f>($F$11*$J$17)/4</f>
        <v>0</v>
      </c>
    </row>
    <row r="111" spans="2:7" hidden="1" x14ac:dyDescent="0.25">
      <c r="B111" s="94" t="s">
        <v>76</v>
      </c>
      <c r="C111" s="94">
        <v>100</v>
      </c>
    </row>
    <row r="112" spans="2:7" ht="30" hidden="1" x14ac:dyDescent="0.25">
      <c r="B112" s="154" t="s">
        <v>485</v>
      </c>
      <c r="C112" s="94">
        <v>-20</v>
      </c>
    </row>
    <row r="113" spans="2:3" ht="30" hidden="1" x14ac:dyDescent="0.25">
      <c r="B113" s="154" t="s">
        <v>486</v>
      </c>
      <c r="C113" s="94">
        <v>-10</v>
      </c>
    </row>
    <row r="114" spans="2:3" ht="30" hidden="1" x14ac:dyDescent="0.25">
      <c r="B114" s="154" t="s">
        <v>487</v>
      </c>
      <c r="C114" s="94">
        <v>-10</v>
      </c>
    </row>
    <row r="115" spans="2:3" ht="30" hidden="1" x14ac:dyDescent="0.25">
      <c r="B115" s="154" t="s">
        <v>488</v>
      </c>
      <c r="C115" s="94">
        <v>-20</v>
      </c>
    </row>
  </sheetData>
  <sheetProtection algorithmName="SHA-512" hashValue="XOPKYJYdDkWx0K2LGCbkim2TGdJsXEov9CltR5g83BzE61eVjHJDTMYAKsA8TiD8lPAeJjTW6Ji/4ky4QdhF7A==" saltValue="8XDcW2mlK0P+P8GjLsf6uA==" spinCount="100000" sheet="1" objects="1" scenarios="1"/>
  <protectedRanges>
    <protectedRange sqref="C7" name="Område3"/>
    <protectedRange sqref="C7:D7" name="Område1_4"/>
    <protectedRange sqref="C7:D7" name="Område2"/>
  </protectedRanges>
  <mergeCells count="28">
    <mergeCell ref="C52:C53"/>
    <mergeCell ref="D52:D53"/>
    <mergeCell ref="E52:F53"/>
    <mergeCell ref="B79:D79"/>
    <mergeCell ref="B2:U2"/>
    <mergeCell ref="B25:G26"/>
    <mergeCell ref="D27:G28"/>
    <mergeCell ref="D29:G30"/>
    <mergeCell ref="C27:C28"/>
    <mergeCell ref="C29:C30"/>
    <mergeCell ref="E11:G11"/>
    <mergeCell ref="B14:D14"/>
    <mergeCell ref="V58:Z58"/>
    <mergeCell ref="E10:G10"/>
    <mergeCell ref="B6:D6"/>
    <mergeCell ref="E6:H6"/>
    <mergeCell ref="C7:D7"/>
    <mergeCell ref="E8:G8"/>
    <mergeCell ref="E9:G9"/>
    <mergeCell ref="E15:G15"/>
    <mergeCell ref="E16:G16"/>
    <mergeCell ref="E18:G18"/>
    <mergeCell ref="E19:G19"/>
    <mergeCell ref="E20:G20"/>
    <mergeCell ref="O25:T25"/>
    <mergeCell ref="B52:B53"/>
    <mergeCell ref="B54:D54"/>
    <mergeCell ref="B49:D50"/>
  </mergeCells>
  <conditionalFormatting sqref="B11:B12 D11:G12">
    <cfRule type="expression" dxfId="2" priority="2">
      <formula>IF($C$7="Industri",TRUE,FALSE)</formula>
    </cfRule>
  </conditionalFormatting>
  <conditionalFormatting sqref="C11:C12">
    <cfRule type="expression" dxfId="1" priority="1">
      <formula>IF($C$7="Industri",TRUE,FALSE)</formula>
    </cfRule>
  </conditionalFormatting>
  <conditionalFormatting sqref="H11:H12">
    <cfRule type="expression" dxfId="0" priority="4">
      <formula>IF($C$7="Industri",TRUE,FALSE)</formula>
    </cfRule>
  </conditionalFormatting>
  <dataValidations xWindow="279" yWindow="550" count="1">
    <dataValidation allowBlank="1" showInputMessage="1" showErrorMessage="1" prompt="Brukes kun til industri. _x000a_OBS! _x000a_Høyde rundes opp til nærmeste heltall. Skal det finnes referanseverdi for et bygg på 13,5 meter benyttes referanseverdi for 14 meter." sqref="C11" xr:uid="{763C66F8-BAA2-41B2-A1BC-8A84C08999D2}"/>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279" yWindow="550" count="1">
        <x14:dataValidation type="list" allowBlank="1" showInputMessage="1" showErrorMessage="1" xr:uid="{A36380C8-88F9-426C-AE85-74468E02E6F7}">
          <x14:formula1>
            <xm:f>Nedtrekksmenyer!$A$1:$A$12</xm:f>
          </x14:formula1>
          <xm:sqref>C7:D7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7667-6123-4303-8615-68E37997A2FB}">
  <dimension ref="B2:D6"/>
  <sheetViews>
    <sheetView workbookViewId="0">
      <selection activeCell="C5" sqref="C5:C6"/>
    </sheetView>
  </sheetViews>
  <sheetFormatPr defaultColWidth="11.42578125" defaultRowHeight="15" x14ac:dyDescent="0.25"/>
  <sheetData>
    <row r="2" spans="2:4" x14ac:dyDescent="0.25">
      <c r="B2" s="377" t="s">
        <v>411</v>
      </c>
      <c r="C2" s="377"/>
      <c r="D2" s="377"/>
    </row>
    <row r="3" spans="2:4" ht="15.75" thickBot="1" x14ac:dyDescent="0.3">
      <c r="B3" s="399"/>
      <c r="C3" s="399"/>
      <c r="D3" s="399"/>
    </row>
    <row r="4" spans="2:4" ht="15.75" thickBot="1" x14ac:dyDescent="0.3">
      <c r="B4" s="219"/>
      <c r="C4" s="219" t="str">
        <f>Verktøy!C51</f>
        <v>Referansenivå</v>
      </c>
      <c r="D4" s="219" t="str">
        <f>Verktøy!D51</f>
        <v>-</v>
      </c>
    </row>
    <row r="5" spans="2:4" x14ac:dyDescent="0.25">
      <c r="B5" s="400" t="str">
        <f>Verktøy!B52</f>
        <v xml:space="preserve">kg CO2-ekv./m2 BTA </v>
      </c>
      <c r="C5" s="402" t="str">
        <f>Verktøy!C52</f>
        <v>-</v>
      </c>
      <c r="D5" s="404" t="e">
        <f>-Verktøy!D52</f>
        <v>#VALUE!</v>
      </c>
    </row>
    <row r="6" spans="2:4" ht="15.75" thickBot="1" x14ac:dyDescent="0.3">
      <c r="B6" s="401"/>
      <c r="C6" s="403"/>
      <c r="D6" s="405"/>
    </row>
  </sheetData>
  <mergeCells count="4">
    <mergeCell ref="B2:D3"/>
    <mergeCell ref="B5:B6"/>
    <mergeCell ref="C5:C6"/>
    <mergeCell ref="D5:D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F8260-1124-4E15-9FB2-406F63FC2225}">
  <dimension ref="A3:CG30"/>
  <sheetViews>
    <sheetView showGridLines="0" zoomScale="85" zoomScaleNormal="85" workbookViewId="0">
      <selection activeCell="B21" sqref="B21:G21"/>
    </sheetView>
  </sheetViews>
  <sheetFormatPr defaultColWidth="8.85546875" defaultRowHeight="15" x14ac:dyDescent="0.25"/>
  <cols>
    <col min="2" max="2" width="21.5703125" customWidth="1"/>
    <col min="3" max="7" width="9.5703125" customWidth="1"/>
    <col min="9" max="9" width="23.85546875" bestFit="1" customWidth="1"/>
    <col min="10" max="14" width="9.5703125" customWidth="1"/>
    <col min="16" max="16" width="23.85546875" bestFit="1" customWidth="1"/>
    <col min="17" max="21" width="9.5703125" customWidth="1"/>
    <col min="23" max="85" width="8.85546875" style="94"/>
  </cols>
  <sheetData>
    <row r="3" spans="2:7" ht="15.75" thickBot="1" x14ac:dyDescent="0.3"/>
    <row r="4" spans="2:7" ht="15.75" thickBot="1" x14ac:dyDescent="0.3">
      <c r="B4" s="406" t="str">
        <f>IF(Verktøy!C7=Nedtrekksmenyer!A1,"Velg bygningskategori",Verktøy!C7&amp;" samlet")</f>
        <v>Velg bygningskategori</v>
      </c>
      <c r="C4" s="407"/>
      <c r="D4" s="407"/>
      <c r="E4" s="407"/>
      <c r="F4" s="407"/>
      <c r="G4" s="408"/>
    </row>
    <row r="5" spans="2:7" ht="32.25" thickBot="1" x14ac:dyDescent="0.4">
      <c r="B5" s="73" t="s">
        <v>399</v>
      </c>
      <c r="C5" s="74" t="s">
        <v>28</v>
      </c>
      <c r="D5" s="75" t="s">
        <v>29</v>
      </c>
      <c r="E5" s="234" t="s">
        <v>564</v>
      </c>
      <c r="F5" s="76" t="s">
        <v>403</v>
      </c>
      <c r="G5" s="77" t="s">
        <v>33</v>
      </c>
    </row>
    <row r="6" spans="2:7" x14ac:dyDescent="0.25">
      <c r="B6" s="141" t="s">
        <v>34</v>
      </c>
      <c r="C6" s="271" t="str">
        <f>IF(Verktøy!$C$7=Nedtrekksmenyer!$A$1,"-",C23+J23+Q23)</f>
        <v>-</v>
      </c>
      <c r="D6" s="240" t="str">
        <f>IF(Verktøy!$C$7=Nedtrekksmenyer!$A$1,"-",D23+K23+R23)</f>
        <v>-</v>
      </c>
      <c r="E6" s="241" t="str">
        <f>IF(Verktøy!$C$7=Nedtrekksmenyer!$A$1,"-",E23+L23+S23)</f>
        <v>-</v>
      </c>
      <c r="F6" s="272" t="str">
        <f>IF(Verktøy!$C$7=Nedtrekksmenyer!$A$1,"-",F23+M23+T23)</f>
        <v>-</v>
      </c>
      <c r="G6" s="273">
        <f t="shared" ref="G6:G14" si="0">SUM(C6:F6)</f>
        <v>0</v>
      </c>
    </row>
    <row r="7" spans="2:7" x14ac:dyDescent="0.25">
      <c r="B7" s="79" t="s">
        <v>35</v>
      </c>
      <c r="C7" s="274" t="str">
        <f>IF(Verktøy!$C$7=Nedtrekksmenyer!$A$1,"-",C24+J24+Q24)</f>
        <v>-</v>
      </c>
      <c r="D7" s="244" t="str">
        <f>IF(Verktøy!$C$7=Nedtrekksmenyer!$A$1,"-",D24+K24+R24)</f>
        <v>-</v>
      </c>
      <c r="E7" s="245" t="str">
        <f>IF(Verktøy!$C$7=Nedtrekksmenyer!$A$1,"-",E24+L24+S24)</f>
        <v>-</v>
      </c>
      <c r="F7" s="275" t="str">
        <f>IF(Verktøy!$C$7=Nedtrekksmenyer!$A$1,"-",F24+M24+T24)</f>
        <v>-</v>
      </c>
      <c r="G7" s="276">
        <f t="shared" si="0"/>
        <v>0</v>
      </c>
    </row>
    <row r="8" spans="2:7" x14ac:dyDescent="0.25">
      <c r="B8" s="79" t="s">
        <v>36</v>
      </c>
      <c r="C8" s="274" t="str">
        <f>IF(Verktøy!$C$7=Nedtrekksmenyer!$A$1,"-",C25+J25+Q25)</f>
        <v>-</v>
      </c>
      <c r="D8" s="244" t="str">
        <f>IF(Verktøy!$C$7=Nedtrekksmenyer!$A$1,"-",D25+K25+R25)</f>
        <v>-</v>
      </c>
      <c r="E8" s="245" t="str">
        <f>IF(Verktøy!$C$7=Nedtrekksmenyer!$A$1,"-",E25+L25+S25)</f>
        <v>-</v>
      </c>
      <c r="F8" s="275" t="str">
        <f>IF(Verktøy!$C$7=Nedtrekksmenyer!$A$1,"-",F25+M25+T25)</f>
        <v>-</v>
      </c>
      <c r="G8" s="276">
        <f t="shared" si="0"/>
        <v>0</v>
      </c>
    </row>
    <row r="9" spans="2:7" x14ac:dyDescent="0.25">
      <c r="B9" s="79" t="s">
        <v>37</v>
      </c>
      <c r="C9" s="277" t="str">
        <f>IF(Verktøy!$C$7=Nedtrekksmenyer!$A$1,"-",C26+J26+Q26)</f>
        <v>-</v>
      </c>
      <c r="D9" s="248" t="str">
        <f>IF(Verktøy!$C$7=Nedtrekksmenyer!$A$1,"-",D26+K26+R26)</f>
        <v>-</v>
      </c>
      <c r="E9" s="249" t="str">
        <f>IF(Verktøy!$C$7=Nedtrekksmenyer!$A$1,"-",E26+L26+S26)</f>
        <v>-</v>
      </c>
      <c r="F9" s="278" t="str">
        <f>IF(Verktøy!$C$7=Nedtrekksmenyer!$A$1,"-",F26+M26+T26)</f>
        <v>-</v>
      </c>
      <c r="G9" s="276">
        <f t="shared" si="0"/>
        <v>0</v>
      </c>
    </row>
    <row r="10" spans="2:7" x14ac:dyDescent="0.25">
      <c r="B10" s="79" t="s">
        <v>38</v>
      </c>
      <c r="C10" s="274" t="str">
        <f>IF(Verktøy!$C$7=Nedtrekksmenyer!$A$1,"-",C27+J27+Q27)</f>
        <v>-</v>
      </c>
      <c r="D10" s="244" t="str">
        <f>IF(Verktøy!$C$7=Nedtrekksmenyer!$A$1,"-",D27+K27+R27)</f>
        <v>-</v>
      </c>
      <c r="E10" s="245" t="str">
        <f>IF(Verktøy!$C$7=Nedtrekksmenyer!$A$1,"-",E27+L27+S27)</f>
        <v>-</v>
      </c>
      <c r="F10" s="275" t="str">
        <f>IF(Verktøy!$C$7=Nedtrekksmenyer!$A$1,"-",F27+M27+T27)</f>
        <v>-</v>
      </c>
      <c r="G10" s="276">
        <f t="shared" si="0"/>
        <v>0</v>
      </c>
    </row>
    <row r="11" spans="2:7" x14ac:dyDescent="0.25">
      <c r="B11" s="79" t="s">
        <v>39</v>
      </c>
      <c r="C11" s="277" t="str">
        <f>IF(Verktøy!$C$7=Nedtrekksmenyer!$A$1,"-",C28+J28+Q28)</f>
        <v>-</v>
      </c>
      <c r="D11" s="248" t="str">
        <f>IF(Verktøy!$C$7=Nedtrekksmenyer!$A$1,"-",D28+K28+R28)</f>
        <v>-</v>
      </c>
      <c r="E11" s="249" t="str">
        <f>IF(Verktøy!$C$7=Nedtrekksmenyer!$A$1,"-",E28+L28+S28)</f>
        <v>-</v>
      </c>
      <c r="F11" s="278" t="str">
        <f>IF(Verktøy!$C$7=Nedtrekksmenyer!$A$1,"-",F28+M28+T28)</f>
        <v>-</v>
      </c>
      <c r="G11" s="276">
        <f t="shared" si="0"/>
        <v>0</v>
      </c>
    </row>
    <row r="12" spans="2:7" ht="15.75" thickBot="1" x14ac:dyDescent="0.3">
      <c r="B12" s="139" t="s">
        <v>489</v>
      </c>
      <c r="C12" s="279" t="str">
        <f>IF(Verktøy!$C$7=Nedtrekksmenyer!$A$1,"-",C29+J29+Q29)</f>
        <v>-</v>
      </c>
      <c r="D12" s="280" t="str">
        <f>IF(Verktøy!$C$7=Nedtrekksmenyer!$A$1,"-",D29+K29+R29)</f>
        <v>-</v>
      </c>
      <c r="E12" s="281" t="str">
        <f>IF(Verktøy!$C$7=Nedtrekksmenyer!$A$1,"-",E29+L29+S29)</f>
        <v>-</v>
      </c>
      <c r="F12" s="282" t="str">
        <f>IF(Verktøy!$C$7=Nedtrekksmenyer!$A$1,"-",F29+M29+T29)</f>
        <v>-</v>
      </c>
      <c r="G12" s="283">
        <f t="shared" si="0"/>
        <v>0</v>
      </c>
    </row>
    <row r="13" spans="2:7" ht="15.75" thickBot="1" x14ac:dyDescent="0.3">
      <c r="B13" s="73" t="s">
        <v>40</v>
      </c>
      <c r="C13" s="284" t="str">
        <f>IF(Verktøy!$C$7=Nedtrekksmenyer!$A$1,"-",C30+J30+Q30)</f>
        <v>-</v>
      </c>
      <c r="D13" s="285" t="str">
        <f>IF(Verktøy!$C$7=Nedtrekksmenyer!$A$1,"-",D30+K30+R30)</f>
        <v>-</v>
      </c>
      <c r="E13" s="285" t="str">
        <f>IF(Verktøy!$C$7=Nedtrekksmenyer!$A$1,"-",E30+L30+S30)</f>
        <v>-</v>
      </c>
      <c r="F13" s="285" t="str">
        <f>IF(Verktøy!$C$7=Nedtrekksmenyer!$A$1,"-",F30+M30+T30)</f>
        <v>-</v>
      </c>
      <c r="G13" s="286">
        <f t="shared" si="0"/>
        <v>0</v>
      </c>
    </row>
    <row r="14" spans="2:7" x14ac:dyDescent="0.25">
      <c r="B14" s="141" t="s">
        <v>41</v>
      </c>
      <c r="C14" s="287" t="str">
        <f>IF(Verktøy!C7=Nedtrekksmenyer!A1,"-",C13*1000/(Verktøy!$C$8+Verktøy!$C$9)/50)</f>
        <v>-</v>
      </c>
      <c r="D14" s="287" t="str">
        <f>IF(Verktøy!$C$7=Nedtrekksmenyer!$A$1,"-",D13*1000/(Verktøy!$C$8+Verktøy!$C$9)/50)</f>
        <v>-</v>
      </c>
      <c r="E14" s="287" t="str">
        <f>IF(Verktøy!$C$7=Nedtrekksmenyer!$A$1,"-",E13*1000/(Verktøy!$C$8+Verktøy!$C$9)/50)</f>
        <v>-</v>
      </c>
      <c r="F14" s="288" t="str">
        <f>IF(Verktøy!$C$7=Nedtrekksmenyer!$A$1,"-",F13*1000/(Verktøy!$C$8+Verktøy!$C$9)/50)</f>
        <v>-</v>
      </c>
      <c r="G14" s="289">
        <f t="shared" si="0"/>
        <v>0</v>
      </c>
    </row>
    <row r="15" spans="2:7" x14ac:dyDescent="0.25">
      <c r="B15" s="139" t="s">
        <v>42</v>
      </c>
      <c r="C15" s="258" t="str">
        <f>IF(Verktøy!$C$7=Nedtrekksmenyer!$A$1,"-",IF(Verktøy!$C$18=0,"-",C13/Verktøy!$C$18/50*1000))</f>
        <v>-</v>
      </c>
      <c r="D15" s="258" t="str">
        <f>IF(Verktøy!$C$7=Nedtrekksmenyer!$A$1,"-",IF(Verktøy!$C$18=0,"-",D13/Verktøy!$C$18/50*1000))</f>
        <v>-</v>
      </c>
      <c r="E15" s="258" t="str">
        <f>IF(Verktøy!$C$7=Nedtrekksmenyer!$A$1,"-",IF(Verktøy!$C$18=0,"-",E13/Verktøy!$C$18/50*1000))</f>
        <v>-</v>
      </c>
      <c r="F15" s="290" t="str">
        <f>IF(Verktøy!$C$7=Nedtrekksmenyer!$A$1,"-",IF(Verktøy!$C$18=0,"-",F13/Verktøy!$C$18/50*1000))</f>
        <v>-</v>
      </c>
      <c r="G15" s="291" t="str">
        <f>IF(Verktøy!C18=0,"-",G13/Verktøy!$C$18/50*1000)</f>
        <v>-</v>
      </c>
    </row>
    <row r="16" spans="2:7" ht="15.75" thickBot="1" x14ac:dyDescent="0.3">
      <c r="B16" s="86" t="s">
        <v>43</v>
      </c>
      <c r="C16" s="292" t="str">
        <f>IF(Verktøy!$C$7=Nedtrekksmenyer!$A$1,"-",IF(Verktøy!$C$20=0,"-",C13/Verktøy!$C$21/50*1000))</f>
        <v>-</v>
      </c>
      <c r="D16" s="292" t="str">
        <f>IF(Verktøy!$C$7=Nedtrekksmenyer!$A$1,"-",IF(Verktøy!$C$20=0,"-",D13/Verktøy!$C$21/50*1000))</f>
        <v>-</v>
      </c>
      <c r="E16" s="292" t="str">
        <f>IF(Verktøy!$C$7=Nedtrekksmenyer!$A$1,"-",IF(Verktøy!$C$20=0,"-",E13/Verktøy!$C$21/50*1000))</f>
        <v>-</v>
      </c>
      <c r="F16" s="293" t="str">
        <f>IF(Verktøy!$C$7=Nedtrekksmenyer!$A$1,"-",IF(Verktøy!$C$20=0,"-",F13/Verktøy!$C$21/50*1000))</f>
        <v>-</v>
      </c>
      <c r="G16" s="294" t="str">
        <f>IF(Verktøy!C21="-","-",G13/Verktøy!$C$21/50*1000)</f>
        <v>-</v>
      </c>
    </row>
    <row r="17" spans="1:85" s="94" customFormat="1" ht="15.75" thickBot="1" x14ac:dyDescent="0.3">
      <c r="A17"/>
      <c r="B17"/>
      <c r="C17" s="220"/>
      <c r="D17" s="220"/>
      <c r="E17" s="220"/>
      <c r="F17" s="220"/>
      <c r="G17" s="227"/>
      <c r="H17"/>
      <c r="I17"/>
      <c r="J17"/>
      <c r="K17"/>
      <c r="L17"/>
      <c r="M17"/>
      <c r="N17"/>
      <c r="O17"/>
      <c r="P17"/>
      <c r="Q17"/>
      <c r="R17"/>
      <c r="S17"/>
      <c r="T17"/>
      <c r="U17"/>
      <c r="V17"/>
    </row>
    <row r="18" spans="1:85" s="94" customFormat="1" ht="15.75" thickBot="1" x14ac:dyDescent="0.3">
      <c r="A18"/>
      <c r="B18" s="221" t="s">
        <v>400</v>
      </c>
      <c r="C18" s="222"/>
      <c r="D18" s="222"/>
      <c r="E18" s="222"/>
      <c r="F18" s="222"/>
      <c r="G18" s="222"/>
      <c r="H18" s="222"/>
      <c r="I18" s="222"/>
      <c r="J18" s="222"/>
      <c r="K18" s="222"/>
      <c r="L18" s="222"/>
      <c r="M18" s="222"/>
      <c r="N18" s="222"/>
      <c r="O18" s="222"/>
      <c r="P18" s="222"/>
      <c r="Q18" s="222"/>
      <c r="R18" s="222"/>
      <c r="S18" s="222"/>
      <c r="T18" s="222"/>
      <c r="U18" s="223"/>
      <c r="V18"/>
    </row>
    <row r="19" spans="1:85" s="94" customFormat="1" ht="9.75" customHeight="1" thickBot="1" x14ac:dyDescent="0.3">
      <c r="A19"/>
      <c r="B19"/>
      <c r="C19"/>
      <c r="D19"/>
      <c r="E19"/>
      <c r="F19"/>
      <c r="G19"/>
      <c r="H19"/>
      <c r="I19"/>
      <c r="J19"/>
      <c r="K19"/>
      <c r="L19"/>
      <c r="M19"/>
      <c r="N19"/>
      <c r="O19"/>
      <c r="P19"/>
      <c r="Q19"/>
      <c r="R19"/>
      <c r="S19"/>
      <c r="T19"/>
      <c r="U19"/>
      <c r="V19"/>
    </row>
    <row r="20" spans="1:85" s="93" customFormat="1" x14ac:dyDescent="0.25">
      <c r="A20"/>
      <c r="B20" s="224"/>
      <c r="C20" s="225"/>
      <c r="D20" s="225"/>
      <c r="E20" s="225"/>
      <c r="F20" s="225"/>
      <c r="G20" s="226"/>
      <c r="H20" s="42"/>
      <c r="I20" s="224"/>
      <c r="J20" s="225"/>
      <c r="K20" s="225"/>
      <c r="L20" s="225"/>
      <c r="M20" s="225"/>
      <c r="N20" s="226"/>
      <c r="O20" s="42"/>
      <c r="P20" s="224"/>
      <c r="Q20" s="225"/>
      <c r="R20" s="225"/>
      <c r="S20" s="225"/>
      <c r="T20" s="225"/>
      <c r="U20" s="226"/>
      <c r="V20"/>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row>
    <row r="21" spans="1:85" ht="15.75" thickBot="1" x14ac:dyDescent="0.3">
      <c r="B21" s="409" t="str">
        <f>IF(Verktøy!C7="Velg bygningskategori","Velg bygningskategori",Verktøy!C7&amp;" over bakken")</f>
        <v>Velg bygningskategori</v>
      </c>
      <c r="C21" s="410"/>
      <c r="D21" s="410"/>
      <c r="E21" s="410"/>
      <c r="F21" s="410"/>
      <c r="G21" s="411"/>
      <c r="I21" s="412" t="str">
        <f>IF(Verktøy!C7=Nedtrekksmenyer!A1,"Velg bygningskategori","Kjeller, oppvarmet")</f>
        <v>Velg bygningskategori</v>
      </c>
      <c r="J21" s="413"/>
      <c r="K21" s="413"/>
      <c r="L21" s="413"/>
      <c r="M21" s="413"/>
      <c r="N21" s="414"/>
      <c r="P21" s="412" t="str">
        <f>IF(Verktøy!C7=Nedtrekksmenyer!A1,"Velg bygningskategori","Kjeller, uoppvarmet")</f>
        <v>Velg bygningskategori</v>
      </c>
      <c r="Q21" s="413"/>
      <c r="R21" s="413"/>
      <c r="S21" s="413"/>
      <c r="T21" s="413"/>
      <c r="U21" s="414"/>
    </row>
    <row r="22" spans="1:85" ht="32.25" thickBot="1" x14ac:dyDescent="0.4">
      <c r="B22" s="73" t="s">
        <v>399</v>
      </c>
      <c r="C22" s="74" t="s">
        <v>28</v>
      </c>
      <c r="D22" s="75" t="s">
        <v>29</v>
      </c>
      <c r="E22" s="234" t="s">
        <v>564</v>
      </c>
      <c r="F22" s="78" t="s">
        <v>403</v>
      </c>
      <c r="G22" s="77" t="s">
        <v>33</v>
      </c>
      <c r="I22" s="73" t="s">
        <v>399</v>
      </c>
      <c r="J22" s="74" t="s">
        <v>28</v>
      </c>
      <c r="K22" s="75" t="s">
        <v>29</v>
      </c>
      <c r="L22" s="234" t="s">
        <v>564</v>
      </c>
      <c r="M22" s="78" t="s">
        <v>403</v>
      </c>
      <c r="N22" s="77" t="s">
        <v>33</v>
      </c>
      <c r="P22" s="73" t="s">
        <v>399</v>
      </c>
      <c r="Q22" s="74" t="s">
        <v>28</v>
      </c>
      <c r="R22" s="75" t="s">
        <v>29</v>
      </c>
      <c r="S22" s="234" t="s">
        <v>564</v>
      </c>
      <c r="T22" s="78" t="s">
        <v>403</v>
      </c>
      <c r="U22" s="77" t="s">
        <v>33</v>
      </c>
    </row>
    <row r="23" spans="1:85" x14ac:dyDescent="0.25">
      <c r="B23" s="143" t="s">
        <v>34</v>
      </c>
      <c r="C23" s="295" t="str">
        <f>IF(Verktøy!$C$7=Nedtrekksmenyer!$A$1,"-",IF(Verktøy!$C$7=Nedtrekksmenyer!$A$7,0,(Verktøy!$C$8+Verktøy!$C$9+Verktøy!$C$10)*Verktøy!$C$16*('Utslippstall modellbygg'!BC25+'Utslippstall modellbygg'!BC26)/1000+IF(Verktøy!$C$16=0,0,Verktøy!$C$15*'Utslippstall modellbygg'!BC27/1000)))</f>
        <v>-</v>
      </c>
      <c r="D23" s="296" t="str">
        <f>IF(Verktøy!$C$7=Nedtrekksmenyer!$A$1,"-",IF(Verktøy!$C$7=Nedtrekksmenyer!$A$7,0,(Verktøy!$C$8+Verktøy!$C$9+Verktøy!$C$10)*Verktøy!$C$16*('Utslippstall modellbygg'!BD25+'Utslippstall modellbygg'!BD26)/1000+IF(Verktøy!$C$16=0,0,Verktøy!$C$15*'Utslippstall modellbygg'!BD27/1000)))</f>
        <v>-</v>
      </c>
      <c r="E23" s="296" t="str">
        <f>IF(Verktøy!$C$7=Nedtrekksmenyer!$A$1,"-",IF(Verktøy!$C$7=Nedtrekksmenyer!$A$7,0,(Verktøy!$C$8+Verktøy!$C$9+Verktøy!$C$10)*Verktøy!$C$16*('Utslippstall modellbygg'!BE25+'Utslippstall modellbygg'!BE26)/1000+IF(Verktøy!$C$16=0,0,Verktøy!$C$15*'Utslippstall modellbygg'!BE27/1000)))</f>
        <v>-</v>
      </c>
      <c r="F23" s="297" t="str">
        <f>IF(Verktøy!$C$7=Nedtrekksmenyer!$A$1,"-",0)</f>
        <v>-</v>
      </c>
      <c r="G23" s="273">
        <f t="shared" ref="G23:G30" si="1">SUM(C23:F23)</f>
        <v>0</v>
      </c>
      <c r="I23" s="87" t="s">
        <v>34</v>
      </c>
      <c r="J23" s="271"/>
      <c r="K23" s="240"/>
      <c r="L23" s="240"/>
      <c r="M23" s="300"/>
      <c r="N23" s="301">
        <f t="shared" ref="N23:N30" si="2">SUM(J23:M23)</f>
        <v>0</v>
      </c>
      <c r="P23" s="87" t="s">
        <v>34</v>
      </c>
      <c r="Q23" s="271"/>
      <c r="R23" s="240"/>
      <c r="S23" s="240"/>
      <c r="T23" s="300"/>
      <c r="U23" s="301">
        <f t="shared" ref="U23:U28" si="3">SUM(Q23:T23)</f>
        <v>0</v>
      </c>
    </row>
    <row r="24" spans="1:85" x14ac:dyDescent="0.25">
      <c r="B24" s="140" t="s">
        <v>35</v>
      </c>
      <c r="C24" s="277" t="str">
        <f>_xlfn.IFNA((IF(Verktøy!$C$7=Nedtrekksmenyer!$A$12,Verktøy!$C$8,Verktøy!$C$8)*HLOOKUP(Verktøy!$C$7&amp;C$22,'Utslippstall modellbygg'!$B$13:$AS$18,2,FALSE))/1000,"-")</f>
        <v>-</v>
      </c>
      <c r="D24" s="248" t="str">
        <f>_xlfn.IFNA((IF(Verktøy!$C$7=Nedtrekksmenyer!$A$12,Verktøy!$C$8,Verktøy!$C$8)*HLOOKUP(Verktøy!$C$7&amp;D$22,'Utslippstall modellbygg'!$B$13:$AS$18,2,FALSE))/1000,"-")</f>
        <v>-</v>
      </c>
      <c r="E24" s="248" t="str">
        <f>_xlfn.IFNA((IF(Verktøy!$C$7=Nedtrekksmenyer!$A$12,Verktøy!$C$8,Verktøy!$C$8)*HLOOKUP(Verktøy!$C$7&amp;E$22,'Utslippstall modellbygg'!$B$13:$AS$18,2,FALSE))/1000,"-")</f>
        <v>-</v>
      </c>
      <c r="F24" s="278" t="str">
        <f>_xlfn.IFNA((IF(Verktøy!$C$7=Nedtrekksmenyer!$A$12,Verktøy!$C$8,Verktøy!$C$8)*HLOOKUP(Verktøy!$C$7&amp;F$22,'Utslippstall modellbygg'!$B$13:$AS$18,2,FALSE))/1000,"-")</f>
        <v>-</v>
      </c>
      <c r="G24" s="276">
        <f t="shared" si="1"/>
        <v>0</v>
      </c>
      <c r="I24" s="79" t="s">
        <v>35</v>
      </c>
      <c r="J24" s="274" t="str">
        <f>IF(Verktøy!$C$7=Nedtrekksmenyer!$A$1,"-",('Utslippstall modellbygg'!AT14*Verktøy!$C$9/1000))</f>
        <v>-</v>
      </c>
      <c r="K24" s="244" t="str">
        <f>IF(Verktøy!$C$7=Nedtrekksmenyer!$A$1,"-",('Utslippstall modellbygg'!AU14*Verktøy!$C$9/1000))</f>
        <v>-</v>
      </c>
      <c r="L24" s="244" t="str">
        <f>IF(Verktøy!$C$7=Nedtrekksmenyer!$A$1,"-",('Utslippstall modellbygg'!AV14*Verktøy!$C$9/1000))</f>
        <v>-</v>
      </c>
      <c r="M24" s="302" t="str">
        <f>IF(Verktøy!$C$7=Nedtrekksmenyer!$A$1,"-",('Utslippstall modellbygg'!AW14*Verktøy!$C$9/1000))</f>
        <v>-</v>
      </c>
      <c r="N24" s="246">
        <f t="shared" si="2"/>
        <v>0</v>
      </c>
      <c r="P24" s="79" t="s">
        <v>35</v>
      </c>
      <c r="Q24" s="274" t="str">
        <f>IF(Verktøy!$C$7=Nedtrekksmenyer!$A$1,"-",('Utslippstall modellbygg'!AX14*Verktøy!$C$10/1000))</f>
        <v>-</v>
      </c>
      <c r="R24" s="244" t="str">
        <f>IF(Verktøy!$C$7=Nedtrekksmenyer!$A$1,"-",('Utslippstall modellbygg'!AY14*Verktøy!$C$10/1000))</f>
        <v>-</v>
      </c>
      <c r="S24" s="244" t="str">
        <f>IF(Verktøy!$C$7=Nedtrekksmenyer!$A$1,"-",('Utslippstall modellbygg'!AZ14*Verktøy!$C$10/1000))</f>
        <v>-</v>
      </c>
      <c r="T24" s="302" t="str">
        <f>IF(Verktøy!$C$7=Nedtrekksmenyer!$A$1,"-",('Utslippstall modellbygg'!BA14*Verktøy!$C$10/1000))</f>
        <v>-</v>
      </c>
      <c r="U24" s="246">
        <f t="shared" si="3"/>
        <v>0</v>
      </c>
    </row>
    <row r="25" spans="1:85" x14ac:dyDescent="0.25">
      <c r="B25" s="140" t="s">
        <v>36</v>
      </c>
      <c r="C25" s="277" t="str">
        <f>_xlfn.IFNA((IF(Verktøy!$C$7=Nedtrekksmenyer!$A$12,Verktøy!$C$8,Verktøy!$C$8)*HLOOKUP(Verktøy!$C$7&amp;C$22,'Utslippstall modellbygg'!$B$13:$AS$18,3,FALSE))/1000,"-")</f>
        <v>-</v>
      </c>
      <c r="D25" s="248" t="str">
        <f>_xlfn.IFNA((IF(Verktøy!$C$7=Nedtrekksmenyer!$A$12,Verktøy!$C$8,Verktøy!$C$8)*HLOOKUP(Verktøy!$C$7&amp;D$22,'Utslippstall modellbygg'!$B$13:$AS$18,3,FALSE))/1000,"-")</f>
        <v>-</v>
      </c>
      <c r="E25" s="248" t="str">
        <f>_xlfn.IFNA((IF(Verktøy!$C$7=Nedtrekksmenyer!$A$12,Verktøy!$C$8,Verktøy!$C$8)*HLOOKUP(Verktøy!$C$7&amp;E$22,'Utslippstall modellbygg'!$B$13:$AS$18,3,FALSE))/1000,"-")</f>
        <v>-</v>
      </c>
      <c r="F25" s="278" t="str">
        <f>_xlfn.IFNA((IF(Verktøy!$C$7=Nedtrekksmenyer!$A$12,Verktøy!$C$8,Verktøy!$C$8)*HLOOKUP(Verktøy!$C$7&amp;F$22,'Utslippstall modellbygg'!$B$13:$AS$18,3,FALSE))/1000,"-")</f>
        <v>-</v>
      </c>
      <c r="G25" s="276">
        <f t="shared" si="1"/>
        <v>0</v>
      </c>
      <c r="I25" s="79" t="s">
        <v>36</v>
      </c>
      <c r="J25" s="274" t="str">
        <f>IF(Verktøy!$C$7=Nedtrekksmenyer!$A$1,"-",('Utslippstall modellbygg'!AT15*Verktøy!$C$9/1000))</f>
        <v>-</v>
      </c>
      <c r="K25" s="244" t="str">
        <f>IF(Verktøy!$C$7=Nedtrekksmenyer!$A$1,"-",('Utslippstall modellbygg'!AU15*Verktøy!$C$9/1000))</f>
        <v>-</v>
      </c>
      <c r="L25" s="244" t="str">
        <f>IF(Verktøy!$C$7=Nedtrekksmenyer!$A$1,"-",('Utslippstall modellbygg'!AV15*Verktøy!$C$9/1000))</f>
        <v>-</v>
      </c>
      <c r="M25" s="302" t="str">
        <f>IF(Verktøy!$C$7=Nedtrekksmenyer!$A$1,"-",('Utslippstall modellbygg'!AW15*Verktøy!$C$9/1000))</f>
        <v>-</v>
      </c>
      <c r="N25" s="246">
        <f t="shared" si="2"/>
        <v>0</v>
      </c>
      <c r="P25" s="79" t="s">
        <v>36</v>
      </c>
      <c r="Q25" s="274" t="str">
        <f>IF(Verktøy!$C$7=Nedtrekksmenyer!$A$1,"-",('Utslippstall modellbygg'!AX15*Verktøy!$C$10/1000))</f>
        <v>-</v>
      </c>
      <c r="R25" s="244" t="str">
        <f>IF(Verktøy!$C$7=Nedtrekksmenyer!$A$1,"-",('Utslippstall modellbygg'!AY15*Verktøy!$C$10/1000))</f>
        <v>-</v>
      </c>
      <c r="S25" s="244" t="str">
        <f>IF(Verktøy!$C$7=Nedtrekksmenyer!$A$1,"-",('Utslippstall modellbygg'!AZ15*Verktøy!$C$10/1000))</f>
        <v>-</v>
      </c>
      <c r="T25" s="302" t="str">
        <f>IF(Verktøy!$C$7=Nedtrekksmenyer!$A$1,"-",('Utslippstall modellbygg'!BA15*Verktøy!$C$10/1000))</f>
        <v>-</v>
      </c>
      <c r="U25" s="246">
        <f t="shared" si="3"/>
        <v>0</v>
      </c>
    </row>
    <row r="26" spans="1:85" x14ac:dyDescent="0.25">
      <c r="B26" s="140" t="s">
        <v>37</v>
      </c>
      <c r="C26" s="277" t="str">
        <f>_xlfn.IFNA((IF(Verktøy!$C$7=Nedtrekksmenyer!$A$12,Verktøy!$C$8,Verktøy!$C$8)*HLOOKUP(Verktøy!$C$7&amp;C$22,'Utslippstall modellbygg'!$B$13:$AS$18,4,FALSE))/1000,"-")</f>
        <v>-</v>
      </c>
      <c r="D26" s="248" t="str">
        <f>_xlfn.IFNA((IF(Verktøy!$C$7=Nedtrekksmenyer!$A$12,Verktøy!$C$8,Verktøy!$C$8)*HLOOKUP(Verktøy!$C$7&amp;D$22,'Utslippstall modellbygg'!$B$13:$AS$18,4,FALSE))/1000,"-")</f>
        <v>-</v>
      </c>
      <c r="E26" s="248" t="str">
        <f>_xlfn.IFNA((IF(Verktøy!$C$7=Nedtrekksmenyer!$A$12,Verktøy!$C$8,Verktøy!$C$8)*HLOOKUP(Verktøy!$C$7&amp;E$22,'Utslippstall modellbygg'!$B$13:$AS$18,4,FALSE))/1000,"-")</f>
        <v>-</v>
      </c>
      <c r="F26" s="278" t="str">
        <f>_xlfn.IFNA((IF(Verktøy!$C$7=Nedtrekksmenyer!$A$12,Verktøy!$C$8,Verktøy!$C$8)*HLOOKUP(Verktøy!$C$7&amp;F$22,'Utslippstall modellbygg'!$B$13:$AS$18,4,FALSE))/1000,"-")</f>
        <v>-</v>
      </c>
      <c r="G26" s="276">
        <f t="shared" si="1"/>
        <v>0</v>
      </c>
      <c r="I26" s="79" t="s">
        <v>37</v>
      </c>
      <c r="J26" s="274" t="str">
        <f>IF(Verktøy!$C$7=Nedtrekksmenyer!$A$1,"-",('Utslippstall modellbygg'!AT16*Verktøy!$C$9/1000))</f>
        <v>-</v>
      </c>
      <c r="K26" s="244" t="str">
        <f>IF(Verktøy!$C$7=Nedtrekksmenyer!$A$1,"-",('Utslippstall modellbygg'!AU16*Verktøy!$C$9/1000))</f>
        <v>-</v>
      </c>
      <c r="L26" s="244" t="str">
        <f>IF(Verktøy!$C$7=Nedtrekksmenyer!$A$1,"-",('Utslippstall modellbygg'!AV16*Verktøy!$C$9/1000))</f>
        <v>-</v>
      </c>
      <c r="M26" s="302" t="str">
        <f>IF(Verktøy!$C$7=Nedtrekksmenyer!$A$1,"-",('Utslippstall modellbygg'!AW16*Verktøy!$C$9/1000))</f>
        <v>-</v>
      </c>
      <c r="N26" s="246">
        <f t="shared" si="2"/>
        <v>0</v>
      </c>
      <c r="P26" s="79" t="s">
        <v>37</v>
      </c>
      <c r="Q26" s="274" t="str">
        <f>IF(Verktøy!$C$7=Nedtrekksmenyer!$A$1,"-",('Utslippstall modellbygg'!AX16*Verktøy!$C$10/1000))</f>
        <v>-</v>
      </c>
      <c r="R26" s="244" t="str">
        <f>IF(Verktøy!$C$7=Nedtrekksmenyer!$A$1,"-",('Utslippstall modellbygg'!AY16*Verktøy!$C$10/1000))</f>
        <v>-</v>
      </c>
      <c r="S26" s="244" t="str">
        <f>IF(Verktøy!$C$7=Nedtrekksmenyer!$A$1,"-",('Utslippstall modellbygg'!AZ16*Verktøy!$C$10/1000))</f>
        <v>-</v>
      </c>
      <c r="T26" s="302" t="str">
        <f>IF(Verktøy!$C$7=Nedtrekksmenyer!$A$1,"-",('Utslippstall modellbygg'!BA16*Verktøy!$C$10/1000))</f>
        <v>-</v>
      </c>
      <c r="U26" s="246">
        <f t="shared" si="3"/>
        <v>0</v>
      </c>
    </row>
    <row r="27" spans="1:85" x14ac:dyDescent="0.25">
      <c r="B27" s="140" t="s">
        <v>38</v>
      </c>
      <c r="C27" s="277" t="str">
        <f>_xlfn.IFNA((IF(Verktøy!$C$7=Nedtrekksmenyer!$A$12,Verktøy!$C$8,Verktøy!$C$8)*HLOOKUP(Verktøy!$C$7&amp;C$22,'Utslippstall modellbygg'!$B$13:$AS$18,5,FALSE))/1000,"-")</f>
        <v>-</v>
      </c>
      <c r="D27" s="248" t="str">
        <f>_xlfn.IFNA((IF(Verktøy!$C$7=Nedtrekksmenyer!$A$12,Verktøy!$C$8,Verktøy!$C$8)*HLOOKUP(Verktøy!$C$7&amp;D$22,'Utslippstall modellbygg'!$B$13:$AS$18,5,FALSE))/1000,"-")</f>
        <v>-</v>
      </c>
      <c r="E27" s="248" t="str">
        <f>_xlfn.IFNA((IF(Verktøy!$C$7=Nedtrekksmenyer!$A$12,Verktøy!$C$8,Verktøy!$C$8)*HLOOKUP(Verktøy!$C$7&amp;E$22,'Utslippstall modellbygg'!$B$13:$AS$18,5,FALSE))/1000,"-")</f>
        <v>-</v>
      </c>
      <c r="F27" s="278" t="str">
        <f>_xlfn.IFNA((IF(Verktøy!$C$7=Nedtrekksmenyer!$A$12,Verktøy!$C$8,Verktøy!$C$8)*HLOOKUP(Verktøy!$C$7&amp;F$22,'Utslippstall modellbygg'!$B$13:$AS$18,5,FALSE))/1000,"-")</f>
        <v>-</v>
      </c>
      <c r="G27" s="276">
        <f t="shared" si="1"/>
        <v>0</v>
      </c>
      <c r="I27" s="79" t="s">
        <v>38</v>
      </c>
      <c r="J27" s="274" t="str">
        <f>IF(Verktøy!$C$7=Nedtrekksmenyer!$A$1,"-",('Utslippstall modellbygg'!AT17*Verktøy!$C$9/1000))</f>
        <v>-</v>
      </c>
      <c r="K27" s="244" t="str">
        <f>IF(Verktøy!$C$7=Nedtrekksmenyer!$A$1,"-",('Utslippstall modellbygg'!AU17*Verktøy!$C$9/1000))</f>
        <v>-</v>
      </c>
      <c r="L27" s="244" t="str">
        <f>IF(Verktøy!$C$7=Nedtrekksmenyer!$A$1,"-",('Utslippstall modellbygg'!AV17*Verktøy!$C$9/1000))</f>
        <v>-</v>
      </c>
      <c r="M27" s="302" t="str">
        <f>IF(Verktøy!$C$7=Nedtrekksmenyer!$A$1,"-",('Utslippstall modellbygg'!AW17*Verktøy!$C$9/1000))</f>
        <v>-</v>
      </c>
      <c r="N27" s="246">
        <f t="shared" si="2"/>
        <v>0</v>
      </c>
      <c r="P27" s="79" t="s">
        <v>38</v>
      </c>
      <c r="Q27" s="274" t="str">
        <f>IF(Verktøy!$C$7=Nedtrekksmenyer!$A$1,"-",('Utslippstall modellbygg'!AX17*Verktøy!$C$10/1000))</f>
        <v>-</v>
      </c>
      <c r="R27" s="244" t="str">
        <f>IF(Verktøy!$C$7=Nedtrekksmenyer!$A$1,"-",('Utslippstall modellbygg'!AY17*Verktøy!$C$10/1000))</f>
        <v>-</v>
      </c>
      <c r="S27" s="244" t="str">
        <f>IF(Verktøy!$C$7=Nedtrekksmenyer!$A$1,"-",('Utslippstall modellbygg'!AZ17*Verktøy!$C$10/1000))</f>
        <v>-</v>
      </c>
      <c r="T27" s="302" t="str">
        <f>IF(Verktøy!$C$7=Nedtrekksmenyer!$A$1,"-",('Utslippstall modellbygg'!BA17*Verktøy!$C$10/1000))</f>
        <v>-</v>
      </c>
      <c r="U27" s="246">
        <f t="shared" si="3"/>
        <v>0</v>
      </c>
    </row>
    <row r="28" spans="1:85" x14ac:dyDescent="0.25">
      <c r="B28" s="140" t="s">
        <v>39</v>
      </c>
      <c r="C28" s="277" t="str">
        <f>_xlfn.IFNA((IF(Verktøy!$C$7=Nedtrekksmenyer!$A$12,Verktøy!$C$8,Verktøy!$C$8)*HLOOKUP(Verktøy!$C$7&amp;C$22,'Utslippstall modellbygg'!$B$13:$AS$18,6,FALSE))/1000,"-")</f>
        <v>-</v>
      </c>
      <c r="D28" s="248" t="str">
        <f>_xlfn.IFNA((IF(Verktøy!$C$7=Nedtrekksmenyer!$A$12,Verktøy!$C$8,Verktøy!$C$8)*HLOOKUP(Verktøy!$C$7&amp;D$22,'Utslippstall modellbygg'!$B$13:$AS$18,6,FALSE))/1000,"-")</f>
        <v>-</v>
      </c>
      <c r="E28" s="248" t="str">
        <f>_xlfn.IFNA((IF(Verktøy!$C$7=Nedtrekksmenyer!$A$12,Verktøy!$C$8,Verktøy!$C$8)*HLOOKUP(Verktøy!$C$7&amp;E$22,'Utslippstall modellbygg'!$B$13:$AS$18,6,FALSE))/1000,"-")</f>
        <v>-</v>
      </c>
      <c r="F28" s="278" t="str">
        <f>_xlfn.IFNA((IF(Verktøy!$C$7=Nedtrekksmenyer!$A$12,Verktøy!$C$8,Verktøy!$C$8)*HLOOKUP(Verktøy!$C$7&amp;F$22,'Utslippstall modellbygg'!$B$13:$AS$18,6,FALSE))/1000,"-")</f>
        <v>-</v>
      </c>
      <c r="G28" s="276">
        <f t="shared" si="1"/>
        <v>0</v>
      </c>
      <c r="I28" s="79" t="s">
        <v>39</v>
      </c>
      <c r="J28" s="277" t="str">
        <f>IF(Verktøy!$C$7=Nedtrekksmenyer!$A$1,"-",('Utslippstall modellbygg'!AT18*Verktøy!$C$9/1000))</f>
        <v>-</v>
      </c>
      <c r="K28" s="248" t="str">
        <f>IF(Verktøy!$C$7=Nedtrekksmenyer!$A$1,"-",('Utslippstall modellbygg'!AU18*Verktøy!$C$9/1000))</f>
        <v>-</v>
      </c>
      <c r="L28" s="248" t="str">
        <f>IF(Verktøy!$C$7=Nedtrekksmenyer!$A$1,"-",('Utslippstall modellbygg'!AV18*Verktøy!$C$9/1000))</f>
        <v>-</v>
      </c>
      <c r="M28" s="303" t="str">
        <f>IF(Verktøy!$C$7=Nedtrekksmenyer!$A$1,"-",('Utslippstall modellbygg'!AW18*Verktøy!$C$9/1000))</f>
        <v>-</v>
      </c>
      <c r="N28" s="246">
        <f t="shared" si="2"/>
        <v>0</v>
      </c>
      <c r="P28" s="79" t="s">
        <v>39</v>
      </c>
      <c r="Q28" s="277" t="str">
        <f>IF(Verktøy!$C$7=Nedtrekksmenyer!$A$1,"-",('Utslippstall modellbygg'!AX18*Verktøy!$C$10/1000))</f>
        <v>-</v>
      </c>
      <c r="R28" s="248" t="str">
        <f>IF(Verktøy!$C$7=Nedtrekksmenyer!$A$1,"-",('Utslippstall modellbygg'!AY18*Verktøy!$C$10/1000))</f>
        <v>-</v>
      </c>
      <c r="S28" s="248" t="str">
        <f>IF(Verktøy!$C$7=Nedtrekksmenyer!$A$1,"-",('Utslippstall modellbygg'!AZ18*Verktøy!$C$10/1000))</f>
        <v>-</v>
      </c>
      <c r="T28" s="303" t="str">
        <f>IF(Verktøy!$C$7=Nedtrekksmenyer!$A$1,"-",('Utslippstall modellbygg'!BA18*Verktøy!$C$10/1000))</f>
        <v>-</v>
      </c>
      <c r="U28" s="246">
        <f t="shared" si="3"/>
        <v>0</v>
      </c>
    </row>
    <row r="29" spans="1:85" ht="15.75" thickBot="1" x14ac:dyDescent="0.3">
      <c r="B29" s="81" t="s">
        <v>489</v>
      </c>
      <c r="C29" s="279" t="str">
        <f>_xlfn.IFNA((IF(Verktøy!$C$7=Nedtrekksmenyer!$A$12,Verktøy!$C$8,Verktøy!$C$8)*HLOOKUP(Verktøy!$C$7&amp;C$22,'Utslippstall modellbygg'!$B$13:$AS$19,7,FALSE))/1000,"-")</f>
        <v>-</v>
      </c>
      <c r="D29" s="280" t="str">
        <f>_xlfn.IFNA((IF(Verktøy!$C$7=Nedtrekksmenyer!$A$12,Verktøy!$C$8,Verktøy!$C$8)*HLOOKUP(Verktøy!$C$7&amp;D$22,'Utslippstall modellbygg'!$B$13:$AS$19,7,FALSE))/1000,"-")</f>
        <v>-</v>
      </c>
      <c r="E29" s="280" t="str">
        <f>_xlfn.IFNA((IF(Verktøy!$C$7=Nedtrekksmenyer!$A$12,Verktøy!$C$8,Verktøy!$C$8)*HLOOKUP(Verktøy!$C$7&amp;E$22,'Utslippstall modellbygg'!$B$13:$AS$19,7,FALSE))/1000,"-")</f>
        <v>-</v>
      </c>
      <c r="F29" s="282" t="str">
        <f>_xlfn.IFNA((IF(Verktøy!$C$7=Nedtrekksmenyer!$A$12,Verktøy!$C$8,Verktøy!$C$8)*HLOOKUP(Verktøy!$C$7&amp;F$22,'Utslippstall modellbygg'!$B$13:$AS$19,7,FALSE))/1000,"-")</f>
        <v>-</v>
      </c>
      <c r="G29" s="276">
        <f t="shared" si="1"/>
        <v>0</v>
      </c>
      <c r="I29" s="139" t="s">
        <v>489</v>
      </c>
      <c r="J29" s="304" t="str">
        <f>IF(Verktøy!$C$7=Nedtrekksmenyer!$A$1,"-",('Utslippstall modellbygg'!AT19*Verktøy!$C$9/1000))</f>
        <v>-</v>
      </c>
      <c r="K29" s="305" t="str">
        <f>IF(Verktøy!$C$7=Nedtrekksmenyer!$A$1,"-",('Utslippstall modellbygg'!AU19*Verktøy!$C$9/1000))</f>
        <v>-</v>
      </c>
      <c r="L29" s="305" t="str">
        <f>IF(Verktøy!$C$7=Nedtrekksmenyer!$A$1,"-",('Utslippstall modellbygg'!AV19*Verktøy!$C$9/1000))</f>
        <v>-</v>
      </c>
      <c r="M29" s="306" t="str">
        <f>IF(Verktøy!$C$7=Nedtrekksmenyer!$A$1,"-",('Utslippstall modellbygg'!AW19*Verktøy!$C$9/1000))</f>
        <v>-</v>
      </c>
      <c r="N29" s="246">
        <f t="shared" si="2"/>
        <v>0</v>
      </c>
      <c r="P29" s="139" t="s">
        <v>489</v>
      </c>
      <c r="Q29" s="304" t="str">
        <f>IF(Verktøy!$C$7=Nedtrekksmenyer!$A$1,"-",('Utslippstall modellbygg'!AX19*Verktøy!$C$10/1000))</f>
        <v>-</v>
      </c>
      <c r="R29" s="305" t="str">
        <f>IF(Verktøy!$C$7=Nedtrekksmenyer!$A$1,"-",('Utslippstall modellbygg'!AY19*Verktøy!$C$10/1000))</f>
        <v>-</v>
      </c>
      <c r="S29" s="305" t="str">
        <f>IF(Verktøy!$C$7=Nedtrekksmenyer!$A$1,"-",('Utslippstall modellbygg'!AZ19*Verktøy!$C$10/1000))</f>
        <v>-</v>
      </c>
      <c r="T29" s="306" t="str">
        <f>IF(Verktøy!$C$7=Nedtrekksmenyer!$A$1,"-",('Utslippstall modellbygg'!BA19*Verktøy!$C$10/1000))</f>
        <v>-</v>
      </c>
      <c r="U29" s="246">
        <f t="shared" ref="U29" si="4">SUM(Q29:T29)</f>
        <v>0</v>
      </c>
    </row>
    <row r="30" spans="1:85" ht="15.75" thickBot="1" x14ac:dyDescent="0.3">
      <c r="B30" s="73" t="s">
        <v>40</v>
      </c>
      <c r="C30" s="298" t="str">
        <f>IF(Verktøy!$C$7=Nedtrekksmenyer!$A$1,"-",SUM(C23:C29))</f>
        <v>-</v>
      </c>
      <c r="D30" s="298" t="str">
        <f>IF(Verktøy!$C$7=Nedtrekksmenyer!$A$1,"-",SUM(D23:D29))</f>
        <v>-</v>
      </c>
      <c r="E30" s="298" t="str">
        <f>IF(Verktøy!$C$7=Nedtrekksmenyer!$A$1,"-",SUM(E23:E29))</f>
        <v>-</v>
      </c>
      <c r="F30" s="299" t="str">
        <f>IF(Verktøy!$C$7=Nedtrekksmenyer!$A$1,"-",SUM(F23:F29))</f>
        <v>-</v>
      </c>
      <c r="G30" s="253">
        <f t="shared" si="1"/>
        <v>0</v>
      </c>
      <c r="I30" s="73" t="s">
        <v>40</v>
      </c>
      <c r="J30" s="307" t="str">
        <f>IF(Verktøy!$C$7=Nedtrekksmenyer!$A$1,"-",SUM(J23:J29))</f>
        <v>-</v>
      </c>
      <c r="K30" s="307" t="str">
        <f>IF(Verktøy!$C$7=Nedtrekksmenyer!$A$1,"-",SUM(K23:K29))</f>
        <v>-</v>
      </c>
      <c r="L30" s="307" t="str">
        <f>IF(Verktøy!$C$7=Nedtrekksmenyer!$A$1,"-",SUM(L23:L29))</f>
        <v>-</v>
      </c>
      <c r="M30" s="253" t="str">
        <f>IF(Verktøy!$C$7=Nedtrekksmenyer!$A$1,"-",SUM(M23:M29))</f>
        <v>-</v>
      </c>
      <c r="N30" s="253">
        <f t="shared" si="2"/>
        <v>0</v>
      </c>
      <c r="P30" s="73" t="s">
        <v>40</v>
      </c>
      <c r="Q30" s="307" t="str">
        <f>IF(Verktøy!$C$7=Nedtrekksmenyer!$A$1,"-",SUM(Q23:Q29))</f>
        <v>-</v>
      </c>
      <c r="R30" s="307" t="str">
        <f>IF(Verktøy!$C$7=Nedtrekksmenyer!$A$1,"-",SUM(R23:R29))</f>
        <v>-</v>
      </c>
      <c r="S30" s="307" t="str">
        <f>IF(Verktøy!$C$7=Nedtrekksmenyer!$A$1,"-",SUM(S23:S29))</f>
        <v>-</v>
      </c>
      <c r="T30" s="253" t="str">
        <f>IF(Verktøy!$C$7=Nedtrekksmenyer!$A$1,"-",SUM(T23:T29))</f>
        <v>-</v>
      </c>
      <c r="U30" s="253">
        <f>SUM(Q30:T30)</f>
        <v>0</v>
      </c>
    </row>
  </sheetData>
  <sheetProtection algorithmName="SHA-512" hashValue="1tZNjbUwMEIL0tfD421JqNV91q98n/oPgnSuVfuc2s2hjaCrQbOd2aJ9X1Ow3vl8KuwYplDEcpaQLXzkRSTGgA==" saltValue="GySba0w4zPb5zWUU+Pd9Gw==" spinCount="100000" sheet="1" objects="1" scenarios="1"/>
  <mergeCells count="4">
    <mergeCell ref="B4:G4"/>
    <mergeCell ref="B21:G21"/>
    <mergeCell ref="I21:N21"/>
    <mergeCell ref="P21:U2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98D5-2D15-424F-8902-3367F5794AAA}">
  <dimension ref="A1:BH196"/>
  <sheetViews>
    <sheetView showGridLines="0" zoomScale="70" zoomScaleNormal="70" workbookViewId="0">
      <selection activeCell="I15" sqref="I15"/>
    </sheetView>
  </sheetViews>
  <sheetFormatPr defaultColWidth="9.140625" defaultRowHeight="15" zeroHeight="1" x14ac:dyDescent="0.25"/>
  <cols>
    <col min="1" max="1" width="22.5703125" customWidth="1"/>
    <col min="2" max="53" width="9" customWidth="1"/>
  </cols>
  <sheetData>
    <row r="1" spans="1:53" ht="18.75" x14ac:dyDescent="0.3">
      <c r="A1" s="41" t="s">
        <v>64</v>
      </c>
    </row>
    <row r="2" spans="1:53" x14ac:dyDescent="0.25"/>
    <row r="3" spans="1:53" x14ac:dyDescent="0.25"/>
    <row r="4" spans="1:53" x14ac:dyDescent="0.25"/>
    <row r="5" spans="1:53" x14ac:dyDescent="0.25"/>
    <row r="6" spans="1:53" x14ac:dyDescent="0.25"/>
    <row r="7" spans="1:53" x14ac:dyDescent="0.25"/>
    <row r="8" spans="1:53" x14ac:dyDescent="0.25"/>
    <row r="9" spans="1:53" ht="15.75" thickBot="1" x14ac:dyDescent="0.3"/>
    <row r="10" spans="1:53" ht="15.75" thickBot="1" x14ac:dyDescent="0.3">
      <c r="AP10" s="418" t="str">
        <f>IF(Verktøy!C11="","Industri, høyde "&amp;$D$59&amp;" m","Industri, høyde "&amp;Verktøy!C11&amp;" m")</f>
        <v>Industri, høyde 4 m</v>
      </c>
      <c r="AQ10" s="419"/>
      <c r="AR10" s="419"/>
      <c r="AS10" s="420"/>
    </row>
    <row r="11" spans="1:53" x14ac:dyDescent="0.25">
      <c r="A11" s="42" t="s">
        <v>65</v>
      </c>
      <c r="B11" s="415" t="s">
        <v>47</v>
      </c>
      <c r="C11" s="416"/>
      <c r="D11" s="416"/>
      <c r="E11" s="417"/>
      <c r="F11" s="415" t="s">
        <v>48</v>
      </c>
      <c r="G11" s="416"/>
      <c r="H11" s="416"/>
      <c r="I11" s="417"/>
      <c r="J11" s="415" t="s">
        <v>49</v>
      </c>
      <c r="K11" s="416"/>
      <c r="L11" s="416"/>
      <c r="M11" s="417"/>
      <c r="N11" s="415" t="s">
        <v>3</v>
      </c>
      <c r="O11" s="416"/>
      <c r="P11" s="416"/>
      <c r="Q11" s="417"/>
      <c r="R11" s="415" t="s">
        <v>50</v>
      </c>
      <c r="S11" s="416"/>
      <c r="T11" s="416"/>
      <c r="U11" s="416"/>
      <c r="V11" s="415" t="s">
        <v>602</v>
      </c>
      <c r="W11" s="416"/>
      <c r="X11" s="416"/>
      <c r="Y11" s="417"/>
      <c r="Z11" s="415" t="s">
        <v>603</v>
      </c>
      <c r="AA11" s="416"/>
      <c r="AB11" s="416"/>
      <c r="AC11" s="417"/>
      <c r="AD11" s="415" t="s">
        <v>604</v>
      </c>
      <c r="AE11" s="416"/>
      <c r="AF11" s="416"/>
      <c r="AG11" s="417"/>
      <c r="AH11" s="415" t="s">
        <v>605</v>
      </c>
      <c r="AI11" s="416"/>
      <c r="AJ11" s="416"/>
      <c r="AK11" s="417"/>
      <c r="AL11" s="416" t="s">
        <v>51</v>
      </c>
      <c r="AM11" s="416"/>
      <c r="AN11" s="416"/>
      <c r="AO11" s="417"/>
      <c r="AP11" s="415" t="s">
        <v>52</v>
      </c>
      <c r="AQ11" s="416"/>
      <c r="AR11" s="416"/>
      <c r="AS11" s="417"/>
      <c r="AT11" s="415" t="s">
        <v>66</v>
      </c>
      <c r="AU11" s="416"/>
      <c r="AV11" s="416"/>
      <c r="AW11" s="417"/>
      <c r="AX11" s="415" t="s">
        <v>67</v>
      </c>
      <c r="AY11" s="416"/>
      <c r="AZ11" s="416"/>
      <c r="BA11" s="442"/>
    </row>
    <row r="12" spans="1:53" ht="46.9" customHeight="1" thickBot="1" x14ac:dyDescent="0.3">
      <c r="A12" t="s">
        <v>554</v>
      </c>
      <c r="B12" s="43" t="s">
        <v>28</v>
      </c>
      <c r="C12" s="44" t="s">
        <v>29</v>
      </c>
      <c r="D12" s="235" t="s">
        <v>564</v>
      </c>
      <c r="E12" s="46" t="s">
        <v>403</v>
      </c>
      <c r="F12" s="43" t="s">
        <v>28</v>
      </c>
      <c r="G12" s="44" t="s">
        <v>29</v>
      </c>
      <c r="H12" s="235" t="s">
        <v>564</v>
      </c>
      <c r="I12" s="46" t="s">
        <v>403</v>
      </c>
      <c r="J12" s="43" t="s">
        <v>28</v>
      </c>
      <c r="K12" s="44" t="s">
        <v>29</v>
      </c>
      <c r="L12" s="235" t="s">
        <v>564</v>
      </c>
      <c r="M12" s="46" t="s">
        <v>403</v>
      </c>
      <c r="N12" s="43" t="s">
        <v>28</v>
      </c>
      <c r="O12" s="44" t="s">
        <v>29</v>
      </c>
      <c r="P12" s="235" t="s">
        <v>564</v>
      </c>
      <c r="Q12" s="46" t="s">
        <v>403</v>
      </c>
      <c r="R12" s="43" t="s">
        <v>28</v>
      </c>
      <c r="S12" s="44" t="s">
        <v>29</v>
      </c>
      <c r="T12" s="235" t="s">
        <v>564</v>
      </c>
      <c r="U12" s="46" t="s">
        <v>403</v>
      </c>
      <c r="V12" s="332" t="s">
        <v>28</v>
      </c>
      <c r="W12" s="333" t="s">
        <v>29</v>
      </c>
      <c r="X12" s="333" t="s">
        <v>564</v>
      </c>
      <c r="Y12" s="334" t="s">
        <v>403</v>
      </c>
      <c r="Z12" s="332" t="s">
        <v>28</v>
      </c>
      <c r="AA12" s="333" t="s">
        <v>29</v>
      </c>
      <c r="AB12" s="333" t="s">
        <v>564</v>
      </c>
      <c r="AC12" s="334" t="s">
        <v>403</v>
      </c>
      <c r="AD12" s="332" t="s">
        <v>28</v>
      </c>
      <c r="AE12" s="333" t="s">
        <v>29</v>
      </c>
      <c r="AF12" s="333" t="s">
        <v>564</v>
      </c>
      <c r="AG12" s="334" t="s">
        <v>403</v>
      </c>
      <c r="AH12" s="332" t="s">
        <v>28</v>
      </c>
      <c r="AI12" s="333" t="s">
        <v>29</v>
      </c>
      <c r="AJ12" s="333" t="s">
        <v>564</v>
      </c>
      <c r="AK12" s="334" t="s">
        <v>403</v>
      </c>
      <c r="AL12" s="329" t="s">
        <v>28</v>
      </c>
      <c r="AM12" s="44" t="s">
        <v>29</v>
      </c>
      <c r="AN12" s="235" t="s">
        <v>564</v>
      </c>
      <c r="AO12" s="46" t="s">
        <v>403</v>
      </c>
      <c r="AP12" s="43" t="s">
        <v>28</v>
      </c>
      <c r="AQ12" s="44" t="s">
        <v>29</v>
      </c>
      <c r="AR12" s="235" t="s">
        <v>564</v>
      </c>
      <c r="AS12" s="46" t="s">
        <v>403</v>
      </c>
      <c r="AT12" s="43" t="s">
        <v>28</v>
      </c>
      <c r="AU12" s="44" t="s">
        <v>29</v>
      </c>
      <c r="AV12" s="235" t="s">
        <v>564</v>
      </c>
      <c r="AW12" s="46" t="s">
        <v>403</v>
      </c>
      <c r="AX12" s="43" t="s">
        <v>28</v>
      </c>
      <c r="AY12" s="44" t="s">
        <v>29</v>
      </c>
      <c r="AZ12" s="235" t="s">
        <v>564</v>
      </c>
      <c r="BA12" s="45" t="s">
        <v>403</v>
      </c>
    </row>
    <row r="13" spans="1:53" hidden="1" x14ac:dyDescent="0.25">
      <c r="A13" t="s">
        <v>490</v>
      </c>
      <c r="B13" s="47" t="str">
        <f>B11&amp;B12</f>
        <v>KontorbyggA1-A3</v>
      </c>
      <c r="C13" t="str">
        <f>B11&amp;C12</f>
        <v>KontorbyggA4</v>
      </c>
      <c r="D13" t="str">
        <f>B11&amp;D12</f>
        <v>KontorbyggA5 (kapp og svinn)</v>
      </c>
      <c r="E13" t="str">
        <f>B11&amp;E12</f>
        <v>KontorbyggB2, B4</v>
      </c>
      <c r="F13" s="47" t="str">
        <f>F11&amp;F12</f>
        <v>BoligblokkA1-A3</v>
      </c>
      <c r="G13" t="str">
        <f>F11&amp;G12</f>
        <v>BoligblokkA4</v>
      </c>
      <c r="H13" t="str">
        <f>F11&amp;H12</f>
        <v>BoligblokkA5 (kapp og svinn)</v>
      </c>
      <c r="I13" t="str">
        <f>F11&amp;I12</f>
        <v>BoligblokkB2, B4</v>
      </c>
      <c r="J13" s="47" t="str">
        <f>J11&amp;J12</f>
        <v>SkolebyggA1-A3</v>
      </c>
      <c r="K13" t="str">
        <f>J11&amp;K12</f>
        <v>SkolebyggA4</v>
      </c>
      <c r="L13" t="str">
        <f>J11&amp;L12</f>
        <v>SkolebyggA5 (kapp og svinn)</v>
      </c>
      <c r="M13" t="str">
        <f>J11&amp;M12</f>
        <v>SkolebyggB2, B4</v>
      </c>
      <c r="N13" s="47" t="str">
        <f>N11&amp;N12</f>
        <v>Forretning/næringsbyggA1-A3</v>
      </c>
      <c r="O13" t="str">
        <f>N11&amp;O12</f>
        <v>Forretning/næringsbyggA4</v>
      </c>
      <c r="P13" t="str">
        <f>N11&amp;P12</f>
        <v>Forretning/næringsbyggA5 (kapp og svinn)</v>
      </c>
      <c r="Q13" t="str">
        <f>N11&amp;Q12</f>
        <v>Forretning/næringsbyggB2, B4</v>
      </c>
      <c r="R13" s="47" t="str">
        <f>R11&amp;R12</f>
        <v>SykehjemA1-A3</v>
      </c>
      <c r="S13" t="str">
        <f>R11&amp;S12</f>
        <v>SykehjemA4</v>
      </c>
      <c r="T13" t="str">
        <f>R11&amp;T12</f>
        <v>SykehjemA5 (kapp og svinn)</v>
      </c>
      <c r="U13" t="str">
        <f>R11&amp;U12</f>
        <v>SykehjemB2, B4</v>
      </c>
      <c r="V13" s="47" t="str">
        <f>$V$11&amp;V12</f>
        <v>HotellA1-A3</v>
      </c>
      <c r="W13" s="47" t="str">
        <f t="shared" ref="W13:Y13" si="0">$V$11&amp;W12</f>
        <v>HotellA4</v>
      </c>
      <c r="X13" s="47" t="str">
        <f t="shared" si="0"/>
        <v>HotellA5 (kapp og svinn)</v>
      </c>
      <c r="Y13" s="47" t="str">
        <f t="shared" si="0"/>
        <v>HotellB2, B4</v>
      </c>
      <c r="Z13" s="47" t="str">
        <f>$Z$11&amp;Z12</f>
        <v>Idrett, 4 m høydeA1-A3</v>
      </c>
      <c r="AA13" s="47" t="str">
        <f t="shared" ref="AA13:AC13" si="1">$Z$11&amp;AA12</f>
        <v>Idrett, 4 m høydeA4</v>
      </c>
      <c r="AB13" s="47" t="str">
        <f t="shared" si="1"/>
        <v>Idrett, 4 m høydeA5 (kapp og svinn)</v>
      </c>
      <c r="AC13" s="47" t="str">
        <f t="shared" si="1"/>
        <v>Idrett, 4 m høydeB2, B4</v>
      </c>
      <c r="AD13" s="47" t="str">
        <f>$AD$11&amp;AD12</f>
        <v>Idrett, 7 m høydeA1-A3</v>
      </c>
      <c r="AE13" s="47" t="str">
        <f t="shared" ref="AE13:AG13" si="2">$AD$11&amp;AE12</f>
        <v>Idrett, 7 m høydeA4</v>
      </c>
      <c r="AF13" s="47" t="str">
        <f t="shared" si="2"/>
        <v>Idrett, 7 m høydeA5 (kapp og svinn)</v>
      </c>
      <c r="AG13" s="47" t="str">
        <f t="shared" si="2"/>
        <v>Idrett, 7 m høydeB2, B4</v>
      </c>
      <c r="AH13" s="47" t="str">
        <f>$AH$11&amp;AH12</f>
        <v>Idrett, 9 m høydeA1-A3</v>
      </c>
      <c r="AI13" s="47" t="str">
        <f t="shared" ref="AI13:AK13" si="3">$AH$11&amp;AI12</f>
        <v>Idrett, 9 m høydeA4</v>
      </c>
      <c r="AJ13" s="47" t="str">
        <f t="shared" si="3"/>
        <v>Idrett, 9 m høydeA5 (kapp og svinn)</v>
      </c>
      <c r="AK13" s="47" t="str">
        <f t="shared" si="3"/>
        <v>Idrett, 9 m høydeB2, B4</v>
      </c>
      <c r="AL13" t="str">
        <f>AL11&amp;AL12</f>
        <v>SmåhusA1-A3</v>
      </c>
      <c r="AM13" t="str">
        <f>AL11&amp;AM12</f>
        <v>SmåhusA4</v>
      </c>
      <c r="AN13" t="str">
        <f>AL11&amp;AN12</f>
        <v>SmåhusA5 (kapp og svinn)</v>
      </c>
      <c r="AO13" t="str">
        <f>AL11&amp;AO12</f>
        <v>SmåhusB2, B4</v>
      </c>
      <c r="AP13" s="47" t="str">
        <f>$AP$11&amp;AP12</f>
        <v>IndustriA1-A3</v>
      </c>
      <c r="AQ13" t="str">
        <f>$AP$11&amp;AQ12</f>
        <v>IndustriA4</v>
      </c>
      <c r="AR13" t="str">
        <f>$AP$11&amp;AR12</f>
        <v>IndustriA5 (kapp og svinn)</v>
      </c>
      <c r="AS13" s="48" t="str">
        <f>$AP$11&amp;AS12</f>
        <v>IndustriB2, B4</v>
      </c>
      <c r="AT13" s="47" t="str">
        <f>AT11&amp;AT12</f>
        <v>Oppvarmet kjellerA1-A3</v>
      </c>
      <c r="AU13" t="str">
        <f>AT11&amp;AU12</f>
        <v>Oppvarmet kjellerA4</v>
      </c>
      <c r="AV13" t="str">
        <f>AT11&amp;AV12</f>
        <v>Oppvarmet kjellerA5 (kapp og svinn)</v>
      </c>
      <c r="AW13" t="str">
        <f>AT11&amp;AW12</f>
        <v>Oppvarmet kjellerB2, B4</v>
      </c>
      <c r="AX13" s="47" t="str">
        <f>AX11&amp;AX12</f>
        <v>Uoppvarmet kjellerA1-A3</v>
      </c>
      <c r="AY13" t="str">
        <f>AX11&amp;AY12</f>
        <v>Uoppvarmet kjellerA4</v>
      </c>
      <c r="AZ13" t="str">
        <f>AX11&amp;AZ12</f>
        <v>Uoppvarmet kjellerA5 (kapp og svinn)</v>
      </c>
      <c r="BA13" s="48" t="str">
        <f>AX11&amp;BA12</f>
        <v>Uoppvarmet kjellerB2, B4</v>
      </c>
    </row>
    <row r="14" spans="1:53" x14ac:dyDescent="0.25">
      <c r="A14" t="s">
        <v>35</v>
      </c>
      <c r="B14" s="49">
        <v>29.371657894736838</v>
      </c>
      <c r="C14" s="50">
        <v>1.4535663157894736</v>
      </c>
      <c r="D14" s="50">
        <v>0.63381510131578955</v>
      </c>
      <c r="E14" s="51">
        <v>0</v>
      </c>
      <c r="F14" s="49">
        <v>32.961359026369173</v>
      </c>
      <c r="G14" s="50">
        <v>1.5148478701825556</v>
      </c>
      <c r="H14" s="50">
        <v>0.34476206896551725</v>
      </c>
      <c r="I14" s="50">
        <v>0</v>
      </c>
      <c r="J14" s="49">
        <v>35.327377663772687</v>
      </c>
      <c r="K14" s="50">
        <v>1.6941570639305445</v>
      </c>
      <c r="L14" s="50">
        <v>0.56889200177584853</v>
      </c>
      <c r="M14" s="50">
        <v>0</v>
      </c>
      <c r="N14" s="49">
        <v>13.979405520169854</v>
      </c>
      <c r="O14" s="50">
        <v>0.74835350318471328</v>
      </c>
      <c r="P14" s="50">
        <v>0.32363766056263271</v>
      </c>
      <c r="Q14" s="50">
        <v>0</v>
      </c>
      <c r="R14" s="49">
        <v>52.658701657458565</v>
      </c>
      <c r="S14" s="50">
        <v>1.4235911602209945</v>
      </c>
      <c r="T14" s="50">
        <v>0.54082292817679567</v>
      </c>
      <c r="U14" s="50">
        <v>0</v>
      </c>
      <c r="V14" s="49">
        <v>35.366227180527382</v>
      </c>
      <c r="W14" s="50">
        <v>1.5703448275862069</v>
      </c>
      <c r="X14" s="50">
        <v>0.36936572008113594</v>
      </c>
      <c r="Y14" s="51">
        <v>0</v>
      </c>
      <c r="Z14" s="49">
        <v>69.685731778506977</v>
      </c>
      <c r="AA14" s="50">
        <v>2.4431282519732282</v>
      </c>
      <c r="AB14" s="50">
        <v>0.72128860030480202</v>
      </c>
      <c r="AC14" s="51">
        <v>0</v>
      </c>
      <c r="AD14" s="49">
        <v>77.797186619869251</v>
      </c>
      <c r="AE14" s="50">
        <v>2.6303156713892806</v>
      </c>
      <c r="AF14" s="50">
        <v>0.80427502291258535</v>
      </c>
      <c r="AG14" s="51">
        <v>0</v>
      </c>
      <c r="AH14" s="49">
        <v>87.739506656690594</v>
      </c>
      <c r="AI14" s="50">
        <v>2.8597538260851576</v>
      </c>
      <c r="AJ14" s="50">
        <v>0.90599260482775745</v>
      </c>
      <c r="AK14" s="51">
        <v>0</v>
      </c>
      <c r="AL14" s="50">
        <v>5.2569466473474531</v>
      </c>
      <c r="AM14" s="50">
        <v>0.72691622061792371</v>
      </c>
      <c r="AN14" s="50">
        <v>0.32151023204201568</v>
      </c>
      <c r="AO14" s="50">
        <v>0</v>
      </c>
      <c r="AP14" s="308">
        <f>_xlfn.XLOOKUP($D$59,$AL$61:$AL$77,AN61:AN77)</f>
        <v>69.685731778506977</v>
      </c>
      <c r="AQ14" s="309">
        <f>_xlfn.XLOOKUP($D$59,$AL$61:$AL$77,AO61:AO77)</f>
        <v>2.4431282519732282</v>
      </c>
      <c r="AR14" s="309">
        <f>_xlfn.XLOOKUP($D$59,$AL$61:$AL$77,AP61:AP77)</f>
        <v>0.72128860030480202</v>
      </c>
      <c r="AS14" s="310">
        <f>_xlfn.XLOOKUP($D$59,$AL$61:$AL$77,AQ61:AQ77)</f>
        <v>0</v>
      </c>
      <c r="AT14" s="49">
        <v>22.436069455406471</v>
      </c>
      <c r="AU14" s="50">
        <v>1.4748350434096291</v>
      </c>
      <c r="AV14" s="50">
        <v>1.2249679794790844</v>
      </c>
      <c r="AW14" s="50">
        <v>0</v>
      </c>
      <c r="AX14" s="49">
        <v>22.436069455406471</v>
      </c>
      <c r="AY14" s="50">
        <v>1.4748350434096291</v>
      </c>
      <c r="AZ14" s="50">
        <v>1.2249679794790844</v>
      </c>
      <c r="BA14" s="51">
        <v>0</v>
      </c>
    </row>
    <row r="15" spans="1:53" x14ac:dyDescent="0.25">
      <c r="A15" t="s">
        <v>36</v>
      </c>
      <c r="B15" s="49">
        <v>42.66943724858492</v>
      </c>
      <c r="C15" s="50">
        <v>6.3534898545714276</v>
      </c>
      <c r="D15" s="50">
        <v>1.8111466146956134</v>
      </c>
      <c r="E15" s="51">
        <v>15.65802207069045</v>
      </c>
      <c r="F15" s="49">
        <v>53.255907295541149</v>
      </c>
      <c r="G15" s="50">
        <v>10.419815631831938</v>
      </c>
      <c r="H15" s="50">
        <v>3.0788858761484104</v>
      </c>
      <c r="I15" s="50">
        <v>12.977325332833713</v>
      </c>
      <c r="J15" s="49">
        <v>40.923927296738142</v>
      </c>
      <c r="K15" s="50">
        <v>5.9206673312441085</v>
      </c>
      <c r="L15" s="50">
        <v>1.5195547981294006</v>
      </c>
      <c r="M15" s="50">
        <v>12.801234737547572</v>
      </c>
      <c r="N15" s="49">
        <v>45.728442174645878</v>
      </c>
      <c r="O15" s="50">
        <v>5.5526786280415346</v>
      </c>
      <c r="P15" s="50">
        <v>1.7628191713222645</v>
      </c>
      <c r="Q15" s="50">
        <v>16.432721067640529</v>
      </c>
      <c r="R15" s="49">
        <v>45.637566803951998</v>
      </c>
      <c r="S15" s="50">
        <v>8.23120234647525</v>
      </c>
      <c r="T15" s="50">
        <v>2.4939076857832494</v>
      </c>
      <c r="U15" s="50">
        <v>15.577266982449096</v>
      </c>
      <c r="V15" s="49">
        <v>67.942124944136751</v>
      </c>
      <c r="W15" s="50">
        <v>12.893839625961313</v>
      </c>
      <c r="X15" s="50">
        <v>4.0743484990195542</v>
      </c>
      <c r="Y15" s="51">
        <v>20.656444908315745</v>
      </c>
      <c r="Z15" s="49">
        <v>31.941826518445005</v>
      </c>
      <c r="AA15" s="50">
        <v>4.8831429836518527</v>
      </c>
      <c r="AB15" s="50">
        <v>1.2400569782982007</v>
      </c>
      <c r="AC15" s="51">
        <v>16.936930997763195</v>
      </c>
      <c r="AD15" s="49">
        <v>53.074514416534171</v>
      </c>
      <c r="AE15" s="50">
        <v>8.7209964879912185</v>
      </c>
      <c r="AF15" s="50">
        <v>2.0861795215406467</v>
      </c>
      <c r="AG15" s="51">
        <v>28.152675312281094</v>
      </c>
      <c r="AH15" s="49">
        <v>67.162973015260278</v>
      </c>
      <c r="AI15" s="50">
        <v>11.279565490884133</v>
      </c>
      <c r="AJ15" s="50">
        <v>2.6502612170356112</v>
      </c>
      <c r="AK15" s="51">
        <v>35.629838188626366</v>
      </c>
      <c r="AL15" s="50">
        <v>41.890835578122307</v>
      </c>
      <c r="AM15" s="50">
        <v>2.1915860951433048</v>
      </c>
      <c r="AN15" s="50">
        <v>2.2661132466975666</v>
      </c>
      <c r="AO15" s="50">
        <v>15.242751182128639</v>
      </c>
      <c r="AP15" s="308">
        <f>_xlfn.XLOOKUP($D$59,$AL$81:$AL$97,AN81:AN97)</f>
        <v>25.084880977043731</v>
      </c>
      <c r="AQ15" s="309">
        <f>_xlfn.XLOOKUP($D$59,$AL$81:$AL$97,AO81:AO97)</f>
        <v>4.2975249086867562</v>
      </c>
      <c r="AR15" s="309">
        <f>_xlfn.XLOOKUP($D$59,$AL$81:$AL$97,AP81:AP97)</f>
        <v>0.47015715532701607</v>
      </c>
      <c r="AS15" s="310">
        <f>_xlfn.XLOOKUP($D$59,$AL$81:$AL$97,AQ81:AQ97)</f>
        <v>9.4008941886263617</v>
      </c>
      <c r="AT15" s="49">
        <v>47.539142730355167</v>
      </c>
      <c r="AU15" s="50">
        <v>2.5894733516768329</v>
      </c>
      <c r="AV15" s="50">
        <v>3.33957244980544</v>
      </c>
      <c r="AW15" s="50">
        <v>1.0623906759927062</v>
      </c>
      <c r="AX15" s="49">
        <v>45.720039709755753</v>
      </c>
      <c r="AY15" s="50">
        <v>2.3732563123782571</v>
      </c>
      <c r="AZ15" s="50">
        <v>3.1547392056947245</v>
      </c>
      <c r="BA15" s="51">
        <v>0.70429612824211429</v>
      </c>
    </row>
    <row r="16" spans="1:53" x14ac:dyDescent="0.25">
      <c r="A16" t="s">
        <v>37</v>
      </c>
      <c r="B16" s="49">
        <v>26.196295675236943</v>
      </c>
      <c r="C16" s="50">
        <v>1.841960363363117</v>
      </c>
      <c r="D16" s="50">
        <v>1.1603130997917785</v>
      </c>
      <c r="E16" s="51">
        <v>60.984344468845585</v>
      </c>
      <c r="F16" s="49">
        <v>61.496214575375255</v>
      </c>
      <c r="G16" s="50">
        <v>6.3300026445903885</v>
      </c>
      <c r="H16" s="50">
        <v>3.8759244836809374</v>
      </c>
      <c r="I16" s="50">
        <v>4.0859289417360296</v>
      </c>
      <c r="J16" s="49">
        <v>18.071821029615123</v>
      </c>
      <c r="K16" s="50">
        <v>1.2497237570513824</v>
      </c>
      <c r="L16" s="50">
        <v>1.0725397299279482</v>
      </c>
      <c r="M16" s="50">
        <v>10.780999281878469</v>
      </c>
      <c r="N16" s="49">
        <v>18.48917319981263</v>
      </c>
      <c r="O16" s="50">
        <v>1.779104626304512</v>
      </c>
      <c r="P16" s="50">
        <v>1.2609043603580898</v>
      </c>
      <c r="Q16" s="50">
        <v>25.83058527754568</v>
      </c>
      <c r="R16" s="49">
        <v>30.167872836110821</v>
      </c>
      <c r="S16" s="50">
        <v>3.0303823819755289</v>
      </c>
      <c r="T16" s="50">
        <v>1.8350809419071508</v>
      </c>
      <c r="U16" s="50">
        <v>20.661816380916868</v>
      </c>
      <c r="V16" s="49">
        <v>74.530007327805293</v>
      </c>
      <c r="W16" s="50">
        <v>7.959136838613472</v>
      </c>
      <c r="X16" s="50">
        <v>5.0755787128216356</v>
      </c>
      <c r="Y16" s="51">
        <v>45.41932561269855</v>
      </c>
      <c r="Z16" s="49">
        <v>6.2429936305732481</v>
      </c>
      <c r="AA16" s="50">
        <v>1.1218961333177431</v>
      </c>
      <c r="AB16" s="50">
        <v>0.17599998493928648</v>
      </c>
      <c r="AC16" s="51">
        <v>3.8358522462846159</v>
      </c>
      <c r="AD16" s="49">
        <v>10.477388535031848</v>
      </c>
      <c r="AE16" s="50">
        <v>1.9503315761968496</v>
      </c>
      <c r="AF16" s="50">
        <v>0.30799997364375137</v>
      </c>
      <c r="AG16" s="51">
        <v>6.204992393440337</v>
      </c>
      <c r="AH16" s="49">
        <v>13.300318471337579</v>
      </c>
      <c r="AI16" s="50">
        <v>2.5026218714495867</v>
      </c>
      <c r="AJ16" s="50">
        <v>0.39599996611339466</v>
      </c>
      <c r="AK16" s="51">
        <v>7.7844191582108193</v>
      </c>
      <c r="AL16" s="50">
        <v>22.076769565085208</v>
      </c>
      <c r="AM16" s="50">
        <v>4.3386800625304751</v>
      </c>
      <c r="AN16" s="50">
        <v>2.0850542716756668</v>
      </c>
      <c r="AO16" s="50">
        <v>2.7025406394669558</v>
      </c>
      <c r="AP16" s="308">
        <f>_xlfn.XLOOKUP($D$59,$AL$101:$AL$117,AN101:AN117)</f>
        <v>5.3359872611464967</v>
      </c>
      <c r="AQ16" s="309">
        <f>_xlfn.XLOOKUP($D$59,$AL$101:$AL$117,AO101:AO117)</f>
        <v>1.0104875173345609</v>
      </c>
      <c r="AR16" s="309">
        <f>_xlfn.XLOOKUP($D$59,$AL$101:$AL$117,AP101:AP117)</f>
        <v>5.8479490445859872E-2</v>
      </c>
      <c r="AS16" s="310">
        <f>_xlfn.XLOOKUP($D$59,$AL$101:$AL$117,AQ101:AQ117)</f>
        <v>2.1536058505016156</v>
      </c>
      <c r="AT16" s="49">
        <v>31.811740155091272</v>
      </c>
      <c r="AU16" s="50">
        <v>2.1118491957651795</v>
      </c>
      <c r="AV16" s="50">
        <v>1.8429336023692089</v>
      </c>
      <c r="AW16" s="50">
        <v>1.7940585508350797</v>
      </c>
      <c r="AX16" s="49">
        <v>3.1811740155091268</v>
      </c>
      <c r="AY16" s="50">
        <v>0.21118491957651797</v>
      </c>
      <c r="AZ16" s="50">
        <v>0.18429336023692092</v>
      </c>
      <c r="BA16" s="51">
        <v>0.17940585508350801</v>
      </c>
    </row>
    <row r="17" spans="1:60" x14ac:dyDescent="0.25">
      <c r="A17" t="s">
        <v>38</v>
      </c>
      <c r="B17" s="49">
        <v>84.745697929215311</v>
      </c>
      <c r="C17" s="50">
        <v>12.682315768363754</v>
      </c>
      <c r="D17" s="50">
        <v>3.5214674296157948</v>
      </c>
      <c r="E17" s="51">
        <v>65.791375906860253</v>
      </c>
      <c r="F17" s="49">
        <v>84.362769393638231</v>
      </c>
      <c r="G17" s="50">
        <v>15.267018704393434</v>
      </c>
      <c r="H17" s="50">
        <v>3.7414277297690566</v>
      </c>
      <c r="I17" s="50">
        <v>11.49852411841645</v>
      </c>
      <c r="J17" s="49">
        <v>72.361532226907428</v>
      </c>
      <c r="K17" s="50">
        <v>10.081635077476422</v>
      </c>
      <c r="L17" s="50">
        <v>3.1015979240195088</v>
      </c>
      <c r="M17" s="50">
        <v>18.384323359920408</v>
      </c>
      <c r="N17" s="49">
        <v>89.448899543700364</v>
      </c>
      <c r="O17" s="50">
        <v>17.351625318673292</v>
      </c>
      <c r="P17" s="50">
        <v>2.5048384438151148</v>
      </c>
      <c r="Q17" s="50">
        <v>44.421105929423824</v>
      </c>
      <c r="R17" s="49">
        <v>80.745716466007053</v>
      </c>
      <c r="S17" s="50">
        <v>10.459842780625822</v>
      </c>
      <c r="T17" s="50">
        <v>3.8412695882195682</v>
      </c>
      <c r="U17" s="50">
        <v>34.211468367326205</v>
      </c>
      <c r="V17" s="49">
        <v>80.766425581898801</v>
      </c>
      <c r="W17" s="50">
        <v>14.147058098685219</v>
      </c>
      <c r="X17" s="50">
        <v>4.0002030963656754</v>
      </c>
      <c r="Y17" s="51">
        <v>40.75109921421744</v>
      </c>
      <c r="Z17" s="49">
        <v>78.674837631082667</v>
      </c>
      <c r="AA17" s="50">
        <v>12.169025881398813</v>
      </c>
      <c r="AB17" s="50">
        <v>4.7502661466983849</v>
      </c>
      <c r="AC17" s="51">
        <v>49.901471265496575</v>
      </c>
      <c r="AD17" s="49">
        <v>78.674837631082667</v>
      </c>
      <c r="AE17" s="50">
        <v>12.169025881398813</v>
      </c>
      <c r="AF17" s="50">
        <v>4.7502661466983849</v>
      </c>
      <c r="AG17" s="51">
        <v>49.901471265496575</v>
      </c>
      <c r="AH17" s="49">
        <v>78.674837631082667</v>
      </c>
      <c r="AI17" s="50">
        <v>12.169025881398813</v>
      </c>
      <c r="AJ17" s="50">
        <v>4.7502661466983849</v>
      </c>
      <c r="AK17" s="51">
        <v>49.901471265496575</v>
      </c>
      <c r="AL17" s="50">
        <v>40.967628642851729</v>
      </c>
      <c r="AM17" s="50">
        <v>5.8062441501584816</v>
      </c>
      <c r="AN17" s="50">
        <v>3.5695595309838142</v>
      </c>
      <c r="AO17" s="50">
        <v>10.94192025531628</v>
      </c>
      <c r="AP17" s="308">
        <f>_xlfn.XLOOKUP($D$59,$AL$121:$AL$137,AN121:AN137)</f>
        <v>65.80092878709425</v>
      </c>
      <c r="AQ17" s="309">
        <f>_xlfn.XLOOKUP($D$59,$AL$121:$AL$137,AO121:AO137)</f>
        <v>5.504858358628387</v>
      </c>
      <c r="AR17" s="309">
        <f>_xlfn.XLOOKUP($D$59,$AL$121:$AL$137,AP121:AP137)</f>
        <v>3.4430767031460046</v>
      </c>
      <c r="AS17" s="310">
        <f>_xlfn.XLOOKUP($D$59,$AL$121:$AL$137,AQ121:AQ137)</f>
        <v>13.924501437579618</v>
      </c>
      <c r="AT17" s="49">
        <v>99.393547937474182</v>
      </c>
      <c r="AU17" s="50">
        <v>17.030743339789932</v>
      </c>
      <c r="AV17" s="50">
        <v>3.3440891850155348</v>
      </c>
      <c r="AW17" s="50">
        <v>20.674285961794688</v>
      </c>
      <c r="AX17" s="49">
        <v>95.528037114189388</v>
      </c>
      <c r="AY17" s="50">
        <v>15.675090088972169</v>
      </c>
      <c r="AZ17" s="50">
        <v>2.8721359773640773</v>
      </c>
      <c r="BA17" s="51">
        <v>3.8984698834995033</v>
      </c>
    </row>
    <row r="18" spans="1:60" x14ac:dyDescent="0.25">
      <c r="A18" t="s">
        <v>39</v>
      </c>
      <c r="B18" s="49">
        <v>27.949021052631579</v>
      </c>
      <c r="C18" s="50">
        <v>4.6489231578947363</v>
      </c>
      <c r="D18" s="50">
        <v>1.1467551013157897</v>
      </c>
      <c r="E18" s="51">
        <v>5.8217983157894748</v>
      </c>
      <c r="F18" s="49">
        <v>27.970006387771338</v>
      </c>
      <c r="G18" s="50">
        <v>4.6524137706902149</v>
      </c>
      <c r="H18" s="50">
        <v>1.1476161346979257</v>
      </c>
      <c r="I18" s="50">
        <v>5.8261695740365118</v>
      </c>
      <c r="J18" s="49">
        <v>41.912501973164957</v>
      </c>
      <c r="K18" s="50">
        <v>6.9715501183898976</v>
      </c>
      <c r="L18" s="50">
        <v>1.719680104577743</v>
      </c>
      <c r="M18" s="50">
        <v>8.7304000000000013</v>
      </c>
      <c r="N18" s="49">
        <v>27.941667982109973</v>
      </c>
      <c r="O18" s="50">
        <v>4.6477000789265981</v>
      </c>
      <c r="P18" s="50">
        <v>1.1391850000000001</v>
      </c>
      <c r="Q18" s="50">
        <v>5.8202666666666669</v>
      </c>
      <c r="R18" s="49">
        <v>42.342543429874617</v>
      </c>
      <c r="S18" s="50">
        <v>7.0430814140008424</v>
      </c>
      <c r="T18" s="50">
        <v>1.7373248096760148</v>
      </c>
      <c r="U18" s="50">
        <v>8.8199779005524874</v>
      </c>
      <c r="V18" s="49">
        <v>27.970006387771338</v>
      </c>
      <c r="W18" s="50">
        <v>4.6524137706902149</v>
      </c>
      <c r="X18" s="50">
        <v>1.1476161346979257</v>
      </c>
      <c r="Y18" s="51">
        <v>5.8261695740365118</v>
      </c>
      <c r="Z18" s="49">
        <v>73.784523946329912</v>
      </c>
      <c r="AA18" s="50">
        <v>1.9587002367797948</v>
      </c>
      <c r="AB18" s="50">
        <v>3.1905964091554857</v>
      </c>
      <c r="AC18" s="51">
        <v>17.460799999999999</v>
      </c>
      <c r="AD18" s="49">
        <v>73.784523946329912</v>
      </c>
      <c r="AE18" s="50">
        <v>1.9587002367797948</v>
      </c>
      <c r="AF18" s="50">
        <v>3.1905964091554857</v>
      </c>
      <c r="AG18" s="51">
        <v>17.460799999999999</v>
      </c>
      <c r="AH18" s="49">
        <v>73.784523946329912</v>
      </c>
      <c r="AI18" s="50">
        <v>1.9587002367797948</v>
      </c>
      <c r="AJ18" s="50">
        <v>3.1905964091554857</v>
      </c>
      <c r="AK18" s="51">
        <v>17.460799999999999</v>
      </c>
      <c r="AL18" s="50">
        <v>20.384086771878156</v>
      </c>
      <c r="AM18" s="50">
        <v>2.0674268415151738</v>
      </c>
      <c r="AN18" s="50">
        <v>1.8664838531885413</v>
      </c>
      <c r="AO18" s="50">
        <v>0</v>
      </c>
      <c r="AP18" s="308">
        <f>_xlfn.XLOOKUP($D$59,$AL$141:$AL$157,AN141:AN157)</f>
        <v>73.784523946329912</v>
      </c>
      <c r="AQ18" s="309">
        <f>_xlfn.XLOOKUP($D$59,$AL$141:$AL$157,AO141:AO157)</f>
        <v>1.9542601420678767</v>
      </c>
      <c r="AR18" s="309">
        <f>_xlfn.XLOOKUP($D$59,$AL$141:$AL$157,AP141:AP157)</f>
        <v>3.1903744044198898</v>
      </c>
      <c r="AS18" s="310">
        <f>_xlfn.XLOOKUP($D$59,$AL$141:$AL$157,AQ141:AQ157)</f>
        <v>17.460799999999999</v>
      </c>
      <c r="AT18" s="49">
        <v>0</v>
      </c>
      <c r="AU18" s="50">
        <v>0</v>
      </c>
      <c r="AV18" s="50">
        <v>0</v>
      </c>
      <c r="AW18" s="50">
        <v>0</v>
      </c>
      <c r="AX18" s="49">
        <v>0</v>
      </c>
      <c r="AY18" s="50">
        <v>0</v>
      </c>
      <c r="AZ18" s="50">
        <v>0</v>
      </c>
      <c r="BA18" s="51">
        <v>0</v>
      </c>
    </row>
    <row r="19" spans="1:60" ht="15.75" thickBot="1" x14ac:dyDescent="0.3">
      <c r="A19" t="s">
        <v>489</v>
      </c>
      <c r="B19" s="49">
        <v>1.2066738567730804</v>
      </c>
      <c r="C19" s="50">
        <v>7.8127868852459009E-2</v>
      </c>
      <c r="D19" s="50">
        <v>6.6173603106125981E-2</v>
      </c>
      <c r="E19" s="50">
        <v>0</v>
      </c>
      <c r="F19" s="49">
        <v>8.3788032454361048</v>
      </c>
      <c r="G19" s="50">
        <v>0.5454158215010142</v>
      </c>
      <c r="H19" s="50">
        <v>0.45955212981744431</v>
      </c>
      <c r="I19" s="50">
        <v>0</v>
      </c>
      <c r="J19" s="49">
        <v>0.56925808997632199</v>
      </c>
      <c r="K19" s="50">
        <v>3.6345698500394631E-2</v>
      </c>
      <c r="L19" s="50">
        <v>3.1207182320441992E-2</v>
      </c>
      <c r="M19" s="50">
        <v>0</v>
      </c>
      <c r="N19" s="49">
        <v>0.6111995753715499</v>
      </c>
      <c r="O19" s="50">
        <v>3.8949044585987261E-2</v>
      </c>
      <c r="P19" s="50">
        <v>3.3504883227176221E-2</v>
      </c>
      <c r="Q19" s="50">
        <v>0</v>
      </c>
      <c r="R19" s="49">
        <v>1.0603788476716653</v>
      </c>
      <c r="S19" s="50">
        <v>6.7576953433307024E-2</v>
      </c>
      <c r="T19" s="50">
        <v>5.8128176795580119E-2</v>
      </c>
      <c r="U19" s="50">
        <v>0</v>
      </c>
      <c r="V19" s="49">
        <v>8.7681428893396429</v>
      </c>
      <c r="W19" s="50">
        <v>0.5702298850574713</v>
      </c>
      <c r="X19" s="50">
        <v>0.48089510930809115</v>
      </c>
      <c r="Y19" s="51">
        <v>0</v>
      </c>
      <c r="Z19" s="49">
        <v>0</v>
      </c>
      <c r="AA19" s="50">
        <v>0</v>
      </c>
      <c r="AB19" s="50">
        <v>0</v>
      </c>
      <c r="AC19" s="51">
        <v>0</v>
      </c>
      <c r="AD19" s="49">
        <v>0</v>
      </c>
      <c r="AE19" s="50">
        <v>0</v>
      </c>
      <c r="AF19" s="50">
        <v>0</v>
      </c>
      <c r="AG19" s="51">
        <v>0</v>
      </c>
      <c r="AH19" s="49">
        <v>0</v>
      </c>
      <c r="AI19" s="50">
        <v>0</v>
      </c>
      <c r="AJ19" s="50">
        <v>0</v>
      </c>
      <c r="AK19" s="51">
        <v>0</v>
      </c>
      <c r="AL19" s="50">
        <v>1.0426101866168056</v>
      </c>
      <c r="AM19" s="50">
        <v>0.13493589222958866</v>
      </c>
      <c r="AN19" s="50">
        <v>0.11940013440395043</v>
      </c>
      <c r="AO19" s="50">
        <v>0</v>
      </c>
      <c r="AP19" s="308">
        <v>0</v>
      </c>
      <c r="AQ19" s="309">
        <v>0</v>
      </c>
      <c r="AR19" s="309">
        <v>0</v>
      </c>
      <c r="AS19" s="310">
        <v>0</v>
      </c>
      <c r="AT19" s="49">
        <v>0.55149960536700871</v>
      </c>
      <c r="AU19" s="50">
        <v>3.4925019731649569E-2</v>
      </c>
      <c r="AV19" s="50">
        <v>3.022762430939226E-2</v>
      </c>
      <c r="AW19" s="50">
        <v>0</v>
      </c>
      <c r="AX19" s="49">
        <v>0.55149960536700871</v>
      </c>
      <c r="AY19" s="50">
        <v>3.4925019731649569E-2</v>
      </c>
      <c r="AZ19" s="50">
        <v>3.022762430939226E-2</v>
      </c>
      <c r="BA19" s="51">
        <v>0</v>
      </c>
    </row>
    <row r="20" spans="1:60" ht="15.75" thickBot="1" x14ac:dyDescent="0.3">
      <c r="A20" t="s">
        <v>40</v>
      </c>
      <c r="B20" s="55">
        <f>SUM(B14:B19)</f>
        <v>212.13878365717864</v>
      </c>
      <c r="C20" s="55">
        <f t="shared" ref="C20:Q20" si="4">SUM(C14:C19)</f>
        <v>27.058383328834967</v>
      </c>
      <c r="D20" s="55">
        <f t="shared" si="4"/>
        <v>8.3396709498408921</v>
      </c>
      <c r="E20" s="55">
        <f t="shared" si="4"/>
        <v>148.25554076218575</v>
      </c>
      <c r="F20" s="55">
        <f t="shared" si="4"/>
        <v>268.42505992413129</v>
      </c>
      <c r="G20" s="55">
        <f t="shared" si="4"/>
        <v>38.729514443189551</v>
      </c>
      <c r="H20" s="55">
        <f t="shared" si="4"/>
        <v>12.648168423079291</v>
      </c>
      <c r="I20" s="55">
        <f t="shared" si="4"/>
        <v>34.387947967022704</v>
      </c>
      <c r="J20" s="55">
        <f t="shared" si="4"/>
        <v>209.16641828017464</v>
      </c>
      <c r="K20" s="55">
        <f t="shared" si="4"/>
        <v>25.954079046592749</v>
      </c>
      <c r="L20" s="55">
        <f t="shared" si="4"/>
        <v>8.0134717407508909</v>
      </c>
      <c r="M20" s="55">
        <f t="shared" si="4"/>
        <v>50.696957379346451</v>
      </c>
      <c r="N20" s="55">
        <f t="shared" si="4"/>
        <v>196.19878799581028</v>
      </c>
      <c r="O20" s="55">
        <f t="shared" si="4"/>
        <v>30.118411199716636</v>
      </c>
      <c r="P20" s="55">
        <f t="shared" si="4"/>
        <v>7.0248895192852787</v>
      </c>
      <c r="Q20" s="55">
        <f t="shared" si="4"/>
        <v>92.504678941276694</v>
      </c>
      <c r="R20" s="55">
        <f>SUM(R14:R19)</f>
        <v>252.61278004107473</v>
      </c>
      <c r="S20" s="55">
        <f t="shared" ref="S20" si="5">SUM(S14:S19)</f>
        <v>30.25567703673174</v>
      </c>
      <c r="T20" s="55">
        <f t="shared" ref="T20" si="6">SUM(T14:T19)</f>
        <v>10.506534130558359</v>
      </c>
      <c r="U20" s="55">
        <f t="shared" ref="U20" si="7">SUM(U14:U19)</f>
        <v>79.270529631244656</v>
      </c>
      <c r="V20" s="55">
        <v>295.34293431147915</v>
      </c>
      <c r="W20" s="55">
        <v>41.793023046593902</v>
      </c>
      <c r="X20" s="55">
        <v>15.148007272294018</v>
      </c>
      <c r="Y20" s="113">
        <v>112.65303930926824</v>
      </c>
      <c r="Z20" s="55">
        <v>260.32991350493779</v>
      </c>
      <c r="AA20" s="55">
        <v>22.57589348712143</v>
      </c>
      <c r="AB20" s="55">
        <v>10.078208119396159</v>
      </c>
      <c r="AC20" s="113">
        <v>88.135054509544375</v>
      </c>
      <c r="AD20" s="55">
        <v>293.80845114884784</v>
      </c>
      <c r="AE20" s="55">
        <v>27.429369853755954</v>
      </c>
      <c r="AF20" s="55">
        <v>11.139317073950854</v>
      </c>
      <c r="AG20" s="113">
        <v>101.719938971218</v>
      </c>
      <c r="AH20" s="55">
        <v>320.66215972070103</v>
      </c>
      <c r="AI20" s="55">
        <v>30.769667306597484</v>
      </c>
      <c r="AJ20" s="55">
        <v>11.893116343830634</v>
      </c>
      <c r="AK20" s="113">
        <v>110.77652861233375</v>
      </c>
      <c r="AL20" s="330">
        <v>131.61887739190163</v>
      </c>
      <c r="AM20" s="55">
        <v>15.265789262194948</v>
      </c>
      <c r="AN20" s="55">
        <v>10.228121268991554</v>
      </c>
      <c r="AO20" s="55">
        <v>28.887212076911876</v>
      </c>
      <c r="AP20" s="55">
        <f t="shared" ref="AP20" si="8">SUM(AP14:AP19)</f>
        <v>239.69205275012138</v>
      </c>
      <c r="AQ20" s="55">
        <f t="shared" ref="AQ20" si="9">SUM(AQ14:AQ19)</f>
        <v>15.210259178690809</v>
      </c>
      <c r="AR20" s="55">
        <f t="shared" ref="AR20" si="10">SUM(AR14:AR19)</f>
        <v>7.8833763536435724</v>
      </c>
      <c r="AS20" s="55">
        <f t="shared" ref="AS20" si="11">SUM(AS14:AS19)</f>
        <v>42.939801476707594</v>
      </c>
      <c r="AT20" s="55">
        <f t="shared" ref="AT20" si="12">SUM(AT14:AT19)</f>
        <v>201.7319998836941</v>
      </c>
      <c r="AU20" s="55">
        <f t="shared" ref="AU20" si="13">SUM(AU14:AU19)</f>
        <v>23.241825950373222</v>
      </c>
      <c r="AV20" s="55">
        <f t="shared" ref="AV20" si="14">SUM(AV14:AV19)</f>
        <v>9.78179084097866</v>
      </c>
      <c r="AW20" s="55">
        <f t="shared" ref="AW20" si="15">SUM(AW14:AW19)</f>
        <v>23.530735188622472</v>
      </c>
      <c r="AX20" s="55">
        <f t="shared" ref="AX20" si="16">SUM(AX14:AX19)</f>
        <v>167.41681990022775</v>
      </c>
      <c r="AY20" s="55">
        <f t="shared" ref="AY20" si="17">SUM(AY14:AY19)</f>
        <v>19.769291384068222</v>
      </c>
      <c r="AZ20" s="55">
        <f t="shared" ref="AZ20" si="18">SUM(AZ14:AZ19)</f>
        <v>7.4663641470841986</v>
      </c>
      <c r="BA20" s="113">
        <f t="shared" ref="BA20" si="19">SUM(BA14:BA19)</f>
        <v>4.7821718668251254</v>
      </c>
    </row>
    <row r="21" spans="1:60" x14ac:dyDescent="0.25">
      <c r="AL21" s="56"/>
    </row>
    <row r="22" spans="1:60" ht="15.75" thickBot="1" x14ac:dyDescent="0.3"/>
    <row r="23" spans="1:60" x14ac:dyDescent="0.25">
      <c r="BA23" s="426" t="s">
        <v>68</v>
      </c>
      <c r="BB23" s="427"/>
      <c r="BC23" s="427"/>
      <c r="BD23" s="427"/>
      <c r="BE23" s="427"/>
      <c r="BF23" s="427"/>
      <c r="BG23" s="427"/>
      <c r="BH23" s="428"/>
    </row>
    <row r="24" spans="1:60" ht="15.75" thickBot="1" x14ac:dyDescent="0.3">
      <c r="BA24" s="43" t="s">
        <v>69</v>
      </c>
      <c r="BB24" s="44"/>
      <c r="BC24" s="44" t="s">
        <v>28</v>
      </c>
      <c r="BD24" s="44" t="s">
        <v>29</v>
      </c>
      <c r="BE24" s="57" t="s">
        <v>30</v>
      </c>
      <c r="BF24" s="429" t="s">
        <v>70</v>
      </c>
      <c r="BG24" s="429"/>
      <c r="BH24" s="430"/>
    </row>
    <row r="25" spans="1:60" x14ac:dyDescent="0.25">
      <c r="BA25" s="431" t="s">
        <v>71</v>
      </c>
      <c r="BB25" s="432"/>
      <c r="BC25" s="52">
        <f>2.6*1.44</f>
        <v>3.7439999999999998</v>
      </c>
      <c r="BD25" s="52">
        <f>1.44/1000*2000*0.087</f>
        <v>0.25055999999999995</v>
      </c>
      <c r="BE25" s="82">
        <v>0</v>
      </c>
      <c r="BF25" s="105" t="s">
        <v>72</v>
      </c>
      <c r="BG25" s="105"/>
      <c r="BH25" s="53"/>
    </row>
    <row r="26" spans="1:60" x14ac:dyDescent="0.25">
      <c r="BA26" s="433" t="s">
        <v>73</v>
      </c>
      <c r="BB26" s="434"/>
      <c r="BC26" s="54">
        <f>0.000393*200</f>
        <v>7.8600000000000003E-2</v>
      </c>
      <c r="BD26" s="54">
        <f>0.000393*2400/1000*50*0.087</f>
        <v>4.1029199999999995E-3</v>
      </c>
      <c r="BE26" s="54">
        <v>0</v>
      </c>
      <c r="BF26" s="435" t="s">
        <v>72</v>
      </c>
      <c r="BG26" s="436"/>
      <c r="BH26" s="437"/>
    </row>
    <row r="27" spans="1:60" ht="15.75" thickBot="1" x14ac:dyDescent="0.3">
      <c r="BA27" s="421" t="s">
        <v>74</v>
      </c>
      <c r="BB27" s="422"/>
      <c r="BC27" s="44">
        <f>0.2*260+0.2*90*0.5</f>
        <v>61</v>
      </c>
      <c r="BD27" s="44">
        <f>(0.2*2.4*50+0.2*90/1000*500)*0.087</f>
        <v>2.871</v>
      </c>
      <c r="BE27" s="57">
        <v>0</v>
      </c>
      <c r="BF27" s="423" t="s">
        <v>75</v>
      </c>
      <c r="BG27" s="424"/>
      <c r="BH27" s="425"/>
    </row>
    <row r="28" spans="1:60" x14ac:dyDescent="0.25">
      <c r="BA28" s="110"/>
      <c r="BB28" s="110"/>
      <c r="BF28" s="110"/>
      <c r="BG28" s="110"/>
      <c r="BH28" s="110"/>
    </row>
    <row r="29" spans="1:60" x14ac:dyDescent="0.25">
      <c r="H29" s="56"/>
      <c r="BA29" s="110"/>
      <c r="BB29" s="110"/>
      <c r="BF29" s="110"/>
      <c r="BG29" s="110"/>
      <c r="BH29" s="110"/>
    </row>
    <row r="30" spans="1:60" x14ac:dyDescent="0.25">
      <c r="H30" s="56"/>
      <c r="BA30" s="110"/>
      <c r="BB30" s="110"/>
      <c r="BF30" s="110"/>
      <c r="BG30" s="110"/>
      <c r="BH30" s="110"/>
    </row>
    <row r="31" spans="1:60" x14ac:dyDescent="0.25">
      <c r="H31" s="56"/>
      <c r="BA31" s="110"/>
      <c r="BB31" s="110"/>
      <c r="BF31" s="110"/>
      <c r="BG31" s="110"/>
      <c r="BH31" s="110"/>
    </row>
    <row r="32" spans="1:60" x14ac:dyDescent="0.25">
      <c r="H32" s="56"/>
      <c r="BA32" s="110"/>
      <c r="BB32" s="110"/>
      <c r="BF32" s="110"/>
      <c r="BG32" s="110"/>
      <c r="BH32" s="110"/>
    </row>
    <row r="33" spans="8:60" x14ac:dyDescent="0.25">
      <c r="BA33" s="110"/>
      <c r="BB33" s="110"/>
      <c r="BF33" s="110"/>
      <c r="BG33" s="110"/>
      <c r="BH33" s="110"/>
    </row>
    <row r="34" spans="8:60" x14ac:dyDescent="0.25">
      <c r="H34" s="56"/>
      <c r="BA34" s="110"/>
      <c r="BB34" s="110"/>
      <c r="BF34" s="110"/>
      <c r="BG34" s="110"/>
      <c r="BH34" s="110"/>
    </row>
    <row r="35" spans="8:60" x14ac:dyDescent="0.25">
      <c r="H35" s="56"/>
      <c r="BA35" s="110"/>
      <c r="BB35" s="110"/>
      <c r="BF35" s="110"/>
      <c r="BG35" s="110"/>
      <c r="BH35" s="110"/>
    </row>
    <row r="36" spans="8:60" x14ac:dyDescent="0.25">
      <c r="H36" s="56"/>
      <c r="BA36" s="110"/>
      <c r="BB36" s="110"/>
      <c r="BF36" s="110"/>
      <c r="BG36" s="110"/>
      <c r="BH36" s="110"/>
    </row>
    <row r="37" spans="8:60" x14ac:dyDescent="0.25">
      <c r="H37" s="56"/>
      <c r="BA37" s="110"/>
      <c r="BB37" s="110"/>
      <c r="BF37" s="110"/>
      <c r="BG37" s="110"/>
      <c r="BH37" s="110"/>
    </row>
    <row r="38" spans="8:60" x14ac:dyDescent="0.25">
      <c r="H38" s="56"/>
      <c r="BA38" s="110"/>
      <c r="BB38" s="110"/>
      <c r="BF38" s="110"/>
      <c r="BG38" s="110"/>
      <c r="BH38" s="110"/>
    </row>
    <row r="39" spans="8:60" x14ac:dyDescent="0.25">
      <c r="H39" s="56"/>
      <c r="BA39" s="110"/>
      <c r="BB39" s="110"/>
      <c r="BF39" s="110"/>
      <c r="BG39" s="110"/>
      <c r="BH39" s="110"/>
    </row>
    <row r="40" spans="8:60" x14ac:dyDescent="0.25">
      <c r="H40" s="56"/>
      <c r="I40" s="12"/>
      <c r="J40" s="12"/>
      <c r="BA40" s="110"/>
      <c r="BB40" s="110"/>
      <c r="BF40" s="110"/>
      <c r="BG40" s="110"/>
      <c r="BH40" s="110"/>
    </row>
    <row r="41" spans="8:60" x14ac:dyDescent="0.25">
      <c r="H41" s="56"/>
      <c r="I41" s="12"/>
      <c r="J41" s="12"/>
      <c r="BA41" s="110"/>
      <c r="BB41" s="110"/>
      <c r="BF41" s="110"/>
      <c r="BG41" s="110"/>
      <c r="BH41" s="110"/>
    </row>
    <row r="42" spans="8:60" x14ac:dyDescent="0.25">
      <c r="H42" s="56"/>
      <c r="BA42" s="110"/>
      <c r="BB42" s="110"/>
      <c r="BF42" s="110"/>
      <c r="BG42" s="110"/>
      <c r="BH42" s="110"/>
    </row>
    <row r="43" spans="8:60" x14ac:dyDescent="0.25">
      <c r="H43" s="56"/>
      <c r="BA43" s="110"/>
      <c r="BB43" s="110"/>
      <c r="BF43" s="110"/>
      <c r="BG43" s="110"/>
      <c r="BH43" s="110"/>
    </row>
    <row r="44" spans="8:60" x14ac:dyDescent="0.25">
      <c r="H44" s="56"/>
      <c r="BA44" s="110"/>
      <c r="BB44" s="110"/>
      <c r="BF44" s="110"/>
      <c r="BG44" s="110"/>
      <c r="BH44" s="110"/>
    </row>
    <row r="45" spans="8:60" x14ac:dyDescent="0.25">
      <c r="H45" s="56"/>
      <c r="BA45" s="110"/>
      <c r="BB45" s="110"/>
      <c r="BF45" s="110"/>
      <c r="BG45" s="110"/>
      <c r="BH45" s="110"/>
    </row>
    <row r="46" spans="8:60" x14ac:dyDescent="0.25">
      <c r="H46" s="56"/>
      <c r="BA46" s="110"/>
      <c r="BB46" s="110"/>
      <c r="BF46" s="110"/>
      <c r="BG46" s="110"/>
      <c r="BH46" s="110"/>
    </row>
    <row r="47" spans="8:60" x14ac:dyDescent="0.25">
      <c r="H47" s="56"/>
      <c r="BA47" s="110"/>
      <c r="BB47" s="110"/>
      <c r="BF47" s="110"/>
      <c r="BG47" s="110"/>
      <c r="BH47" s="110"/>
    </row>
    <row r="48" spans="8:60" x14ac:dyDescent="0.25">
      <c r="H48" s="56"/>
      <c r="BA48" s="110"/>
      <c r="BB48" s="110"/>
      <c r="BF48" s="110"/>
      <c r="BG48" s="110"/>
      <c r="BH48" s="110"/>
    </row>
    <row r="49" spans="1:60" x14ac:dyDescent="0.25">
      <c r="H49" s="56"/>
      <c r="BA49" s="110"/>
      <c r="BB49" s="110"/>
      <c r="BF49" s="110"/>
      <c r="BG49" s="110"/>
      <c r="BH49" s="110"/>
    </row>
    <row r="50" spans="1:60" x14ac:dyDescent="0.25">
      <c r="H50" s="56"/>
      <c r="BA50" s="110"/>
      <c r="BB50" s="110"/>
      <c r="BF50" s="110"/>
      <c r="BG50" s="110"/>
      <c r="BH50" s="110"/>
    </row>
    <row r="51" spans="1:60" x14ac:dyDescent="0.25">
      <c r="H51" s="56"/>
      <c r="BA51" s="110"/>
      <c r="BB51" s="110"/>
      <c r="BF51" s="110"/>
      <c r="BG51" s="110"/>
      <c r="BH51" s="110"/>
    </row>
    <row r="52" spans="1:60" x14ac:dyDescent="0.25">
      <c r="H52" s="56"/>
      <c r="BA52" s="110"/>
      <c r="BB52" s="110"/>
      <c r="BF52" s="110"/>
      <c r="BG52" s="110"/>
      <c r="BH52" s="110"/>
    </row>
    <row r="53" spans="1:60" x14ac:dyDescent="0.25">
      <c r="H53" s="56"/>
    </row>
    <row r="54" spans="1:60" x14ac:dyDescent="0.25">
      <c r="H54" s="56"/>
    </row>
    <row r="55" spans="1:60" x14ac:dyDescent="0.25">
      <c r="H55" s="56"/>
    </row>
    <row r="56" spans="1:60" s="104" customFormat="1" hidden="1" x14ac:dyDescent="0.25">
      <c r="A56" s="104" t="s">
        <v>544</v>
      </c>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row>
    <row r="57" spans="1:60" hidden="1" x14ac:dyDescent="0.25">
      <c r="A57" s="98"/>
      <c r="B57" s="144"/>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row>
    <row r="58" spans="1:60" hidden="1" x14ac:dyDescent="0.25">
      <c r="A58" s="98"/>
    </row>
    <row r="59" spans="1:60" hidden="1" x14ac:dyDescent="0.25">
      <c r="A59" s="98"/>
      <c r="B59" s="89"/>
      <c r="C59" s="89" t="s">
        <v>405</v>
      </c>
      <c r="D59" s="109">
        <f>IF(Verktøy!C11&lt;=4,4,IF(Verktøy!C11&gt;20,20,ROUNDUP(Verktøy!C11,0)))</f>
        <v>4</v>
      </c>
      <c r="E59" s="109"/>
      <c r="H59" s="314" t="s">
        <v>585</v>
      </c>
    </row>
    <row r="60" spans="1:60" hidden="1" x14ac:dyDescent="0.25">
      <c r="A60" s="98"/>
      <c r="B60" s="89"/>
      <c r="C60" s="89" t="s">
        <v>406</v>
      </c>
      <c r="D60" s="109">
        <v>50</v>
      </c>
      <c r="E60" s="109"/>
      <c r="J60" t="s">
        <v>28</v>
      </c>
      <c r="K60" t="s">
        <v>407</v>
      </c>
      <c r="L60" t="s">
        <v>30</v>
      </c>
      <c r="M60" t="s">
        <v>403</v>
      </c>
      <c r="AN60" t="str">
        <f>J60</f>
        <v>A1-A3</v>
      </c>
      <c r="AO60" t="str">
        <f>K60</f>
        <v xml:space="preserve">A4 </v>
      </c>
      <c r="AP60" t="str">
        <f>L60</f>
        <v>A5</v>
      </c>
      <c r="AQ60" t="str">
        <f>M60</f>
        <v>B2, B4</v>
      </c>
    </row>
    <row r="61" spans="1:60" hidden="1" x14ac:dyDescent="0.25">
      <c r="B61" s="89"/>
      <c r="E61" s="109"/>
      <c r="G61">
        <v>4</v>
      </c>
      <c r="H61" s="440" t="s">
        <v>35</v>
      </c>
      <c r="I61" s="441"/>
      <c r="J61" s="312">
        <v>1.3937146355701395</v>
      </c>
      <c r="K61" s="312">
        <v>4.8862565039464567E-2</v>
      </c>
      <c r="L61" s="312">
        <v>1.442577200609604E-2</v>
      </c>
      <c r="M61" s="315">
        <v>0</v>
      </c>
      <c r="P61" s="109"/>
      <c r="AL61">
        <f t="shared" ref="AL61:AL77" si="20">G61</f>
        <v>4</v>
      </c>
      <c r="AM61" t="str">
        <f t="shared" ref="AM61:AM77" si="21">H61</f>
        <v>22 Bæresystemer</v>
      </c>
      <c r="AN61">
        <f t="shared" ref="AN61:AN77" si="22">J61*$D$60</f>
        <v>69.685731778506977</v>
      </c>
      <c r="AO61">
        <f t="shared" ref="AO61:AO77" si="23">K61*$D$60</f>
        <v>2.4431282519732282</v>
      </c>
      <c r="AP61">
        <f t="shared" ref="AP61:AP77" si="24">L61*$D$60</f>
        <v>0.72128860030480202</v>
      </c>
      <c r="AQ61">
        <f t="shared" ref="AQ61:AQ77" si="25">M61*$D$60</f>
        <v>0</v>
      </c>
    </row>
    <row r="62" spans="1:60" hidden="1" x14ac:dyDescent="0.25">
      <c r="E62" s="109"/>
      <c r="G62">
        <v>5</v>
      </c>
      <c r="H62" t="s">
        <v>35</v>
      </c>
      <c r="I62" s="48"/>
      <c r="J62" s="312">
        <v>1.4477910011792212</v>
      </c>
      <c r="K62" s="312">
        <v>5.0110481168904909E-2</v>
      </c>
      <c r="L62" s="312">
        <v>1.4979014823481265E-2</v>
      </c>
      <c r="M62" s="315">
        <v>0</v>
      </c>
      <c r="P62" s="109"/>
      <c r="AL62">
        <f t="shared" si="20"/>
        <v>5</v>
      </c>
      <c r="AM62" t="str">
        <f t="shared" si="21"/>
        <v>22 Bæresystemer</v>
      </c>
      <c r="AN62">
        <f t="shared" si="22"/>
        <v>72.389550058961063</v>
      </c>
      <c r="AO62">
        <f t="shared" si="23"/>
        <v>2.5055240584452454</v>
      </c>
      <c r="AP62">
        <f t="shared" si="24"/>
        <v>0.74895074117406324</v>
      </c>
      <c r="AQ62">
        <f t="shared" si="25"/>
        <v>0</v>
      </c>
    </row>
    <row r="63" spans="1:60" hidden="1" x14ac:dyDescent="0.25">
      <c r="E63" s="109"/>
      <c r="G63">
        <v>6</v>
      </c>
      <c r="H63" t="s">
        <v>35</v>
      </c>
      <c r="I63" s="48"/>
      <c r="J63" s="312">
        <v>1.5018673667883033</v>
      </c>
      <c r="K63" s="312">
        <v>5.1358397298345258E-2</v>
      </c>
      <c r="L63" s="312">
        <v>1.5532257640866487E-2</v>
      </c>
      <c r="M63" s="315">
        <v>0</v>
      </c>
      <c r="P63" s="109"/>
      <c r="AL63">
        <f t="shared" si="20"/>
        <v>6</v>
      </c>
      <c r="AM63" t="str">
        <f t="shared" si="21"/>
        <v>22 Bæresystemer</v>
      </c>
      <c r="AN63">
        <f t="shared" si="22"/>
        <v>75.093368339415164</v>
      </c>
      <c r="AO63">
        <f t="shared" si="23"/>
        <v>2.567919864917263</v>
      </c>
      <c r="AP63">
        <f t="shared" si="24"/>
        <v>0.77661288204332435</v>
      </c>
      <c r="AQ63">
        <f t="shared" si="25"/>
        <v>0</v>
      </c>
    </row>
    <row r="64" spans="1:60" hidden="1" x14ac:dyDescent="0.25">
      <c r="E64" s="109"/>
      <c r="G64">
        <v>7</v>
      </c>
      <c r="H64" t="s">
        <v>35</v>
      </c>
      <c r="I64" s="48"/>
      <c r="J64" s="312">
        <v>1.555943732397385</v>
      </c>
      <c r="K64" s="312">
        <v>5.2606313427785614E-2</v>
      </c>
      <c r="L64" s="312">
        <v>1.6085500458251707E-2</v>
      </c>
      <c r="M64" s="315">
        <v>0</v>
      </c>
      <c r="P64" s="109"/>
      <c r="AL64">
        <f t="shared" si="20"/>
        <v>7</v>
      </c>
      <c r="AM64" t="str">
        <f t="shared" si="21"/>
        <v>22 Bæresystemer</v>
      </c>
      <c r="AN64">
        <f t="shared" si="22"/>
        <v>77.797186619869251</v>
      </c>
      <c r="AO64">
        <f t="shared" si="23"/>
        <v>2.6303156713892806</v>
      </c>
      <c r="AP64">
        <f t="shared" si="24"/>
        <v>0.80427502291258535</v>
      </c>
      <c r="AQ64">
        <f t="shared" si="25"/>
        <v>0</v>
      </c>
    </row>
    <row r="65" spans="2:43" hidden="1" x14ac:dyDescent="0.25">
      <c r="E65" s="109"/>
      <c r="G65">
        <v>8</v>
      </c>
      <c r="H65" t="s">
        <v>35</v>
      </c>
      <c r="I65" s="48"/>
      <c r="J65" s="312">
        <v>1.6455464531338118</v>
      </c>
      <c r="K65" s="312">
        <v>5.4674068521703152E-2</v>
      </c>
      <c r="L65" s="312">
        <v>1.7002205216555148E-2</v>
      </c>
      <c r="M65" s="315">
        <v>0</v>
      </c>
      <c r="P65" s="109"/>
      <c r="AL65">
        <f t="shared" si="20"/>
        <v>8</v>
      </c>
      <c r="AM65" t="str">
        <f t="shared" si="21"/>
        <v>22 Bæresystemer</v>
      </c>
      <c r="AN65">
        <f t="shared" si="22"/>
        <v>82.277322656690586</v>
      </c>
      <c r="AO65">
        <f t="shared" si="23"/>
        <v>2.7337034260851576</v>
      </c>
      <c r="AP65">
        <f t="shared" si="24"/>
        <v>0.85011026082775742</v>
      </c>
      <c r="AQ65">
        <f t="shared" si="25"/>
        <v>0</v>
      </c>
    </row>
    <row r="66" spans="2:43" hidden="1" x14ac:dyDescent="0.25">
      <c r="E66" s="109"/>
      <c r="G66">
        <v>9</v>
      </c>
      <c r="H66" t="s">
        <v>35</v>
      </c>
      <c r="I66" s="48"/>
      <c r="J66" s="312">
        <v>1.7547901331338118</v>
      </c>
      <c r="K66" s="312">
        <v>5.719507652170315E-2</v>
      </c>
      <c r="L66" s="312">
        <v>1.8119852096555148E-2</v>
      </c>
      <c r="M66" s="315">
        <v>0</v>
      </c>
      <c r="P66" s="109"/>
      <c r="AL66">
        <f t="shared" si="20"/>
        <v>9</v>
      </c>
      <c r="AM66" t="str">
        <f t="shared" si="21"/>
        <v>22 Bæresystemer</v>
      </c>
      <c r="AN66">
        <f t="shared" si="22"/>
        <v>87.739506656690594</v>
      </c>
      <c r="AO66">
        <f t="shared" si="23"/>
        <v>2.8597538260851576</v>
      </c>
      <c r="AP66">
        <f t="shared" si="24"/>
        <v>0.90599260482775745</v>
      </c>
      <c r="AQ66">
        <f t="shared" si="25"/>
        <v>0</v>
      </c>
    </row>
    <row r="67" spans="2:43" hidden="1" x14ac:dyDescent="0.25">
      <c r="B67" s="56"/>
      <c r="C67" s="56"/>
      <c r="E67" s="109"/>
      <c r="G67">
        <v>10</v>
      </c>
      <c r="H67" t="s">
        <v>35</v>
      </c>
      <c r="I67" s="48"/>
      <c r="J67" s="312">
        <v>1.875306373133812</v>
      </c>
      <c r="K67" s="312">
        <v>5.997622052170315E-2</v>
      </c>
      <c r="L67" s="312">
        <v>1.935282593655515E-2</v>
      </c>
      <c r="M67" s="315">
        <v>0</v>
      </c>
      <c r="P67" s="109"/>
      <c r="AL67">
        <f t="shared" si="20"/>
        <v>10</v>
      </c>
      <c r="AM67" t="str">
        <f t="shared" si="21"/>
        <v>22 Bæresystemer</v>
      </c>
      <c r="AN67">
        <f t="shared" si="22"/>
        <v>93.765318656690596</v>
      </c>
      <c r="AO67">
        <f t="shared" si="23"/>
        <v>2.9988110260851575</v>
      </c>
      <c r="AP67">
        <f t="shared" si="24"/>
        <v>0.96764129682775746</v>
      </c>
      <c r="AQ67">
        <f t="shared" si="25"/>
        <v>0</v>
      </c>
    </row>
    <row r="68" spans="2:43" hidden="1" x14ac:dyDescent="0.25">
      <c r="B68" s="56"/>
      <c r="C68" s="56"/>
      <c r="E68" s="109"/>
      <c r="G68">
        <v>11</v>
      </c>
      <c r="H68" t="s">
        <v>35</v>
      </c>
      <c r="I68" s="48"/>
      <c r="J68" s="312">
        <v>2.0070951731338118</v>
      </c>
      <c r="K68" s="312">
        <v>6.3017500521703157E-2</v>
      </c>
      <c r="L68" s="312">
        <v>2.0701126736555154E-2</v>
      </c>
      <c r="M68" s="315">
        <v>0</v>
      </c>
      <c r="P68" s="109"/>
      <c r="AL68">
        <f t="shared" si="20"/>
        <v>11</v>
      </c>
      <c r="AM68" t="str">
        <f t="shared" si="21"/>
        <v>22 Bæresystemer</v>
      </c>
      <c r="AN68">
        <f t="shared" si="22"/>
        <v>100.35475865669059</v>
      </c>
      <c r="AO68">
        <f t="shared" si="23"/>
        <v>3.1508750260851577</v>
      </c>
      <c r="AP68">
        <f t="shared" si="24"/>
        <v>1.0350563368277577</v>
      </c>
      <c r="AQ68">
        <f t="shared" si="25"/>
        <v>0</v>
      </c>
    </row>
    <row r="69" spans="2:43" hidden="1" x14ac:dyDescent="0.25">
      <c r="B69" s="56"/>
      <c r="C69" s="56"/>
      <c r="E69" s="109"/>
      <c r="G69">
        <v>12</v>
      </c>
      <c r="H69" t="s">
        <v>35</v>
      </c>
      <c r="I69" s="48"/>
      <c r="J69" s="312">
        <v>2.1501565331338117</v>
      </c>
      <c r="K69" s="312">
        <v>6.6318916521703145E-2</v>
      </c>
      <c r="L69" s="312">
        <v>2.2164754496555149E-2</v>
      </c>
      <c r="M69" s="315">
        <v>0</v>
      </c>
      <c r="P69" s="109"/>
      <c r="AL69">
        <f t="shared" si="20"/>
        <v>12</v>
      </c>
      <c r="AM69" t="str">
        <f t="shared" si="21"/>
        <v>22 Bæresystemer</v>
      </c>
      <c r="AN69">
        <f t="shared" si="22"/>
        <v>107.50782665669058</v>
      </c>
      <c r="AO69">
        <f t="shared" si="23"/>
        <v>3.3159458260851573</v>
      </c>
      <c r="AP69">
        <f t="shared" si="24"/>
        <v>1.1082377248277575</v>
      </c>
      <c r="AQ69">
        <f t="shared" si="25"/>
        <v>0</v>
      </c>
    </row>
    <row r="70" spans="2:43" hidden="1" x14ac:dyDescent="0.25">
      <c r="B70" s="56"/>
      <c r="C70" s="56"/>
      <c r="E70" s="109"/>
      <c r="G70">
        <v>13</v>
      </c>
      <c r="H70" t="s">
        <v>35</v>
      </c>
      <c r="I70" s="48"/>
      <c r="J70" s="312">
        <v>2.3044904531338117</v>
      </c>
      <c r="K70" s="312">
        <v>6.988046852170314E-2</v>
      </c>
      <c r="L70" s="312">
        <v>2.3743709216555154E-2</v>
      </c>
      <c r="M70" s="315">
        <v>0</v>
      </c>
      <c r="P70" s="109"/>
      <c r="AL70">
        <f t="shared" si="20"/>
        <v>13</v>
      </c>
      <c r="AM70" t="str">
        <f t="shared" si="21"/>
        <v>22 Bæresystemer</v>
      </c>
      <c r="AN70">
        <f t="shared" si="22"/>
        <v>115.22452265669058</v>
      </c>
      <c r="AO70">
        <f t="shared" si="23"/>
        <v>3.4940234260851568</v>
      </c>
      <c r="AP70">
        <f t="shared" si="24"/>
        <v>1.1871854608277577</v>
      </c>
      <c r="AQ70">
        <f t="shared" si="25"/>
        <v>0</v>
      </c>
    </row>
    <row r="71" spans="2:43" hidden="1" x14ac:dyDescent="0.25">
      <c r="B71" s="56"/>
      <c r="C71" s="56"/>
      <c r="E71" s="109"/>
      <c r="G71">
        <v>14</v>
      </c>
      <c r="H71" t="s">
        <v>35</v>
      </c>
      <c r="I71" s="48"/>
      <c r="J71" s="312">
        <v>2.4700969331338118</v>
      </c>
      <c r="K71" s="312">
        <v>7.3702156521703144E-2</v>
      </c>
      <c r="L71" s="312">
        <v>2.5437990896555154E-2</v>
      </c>
      <c r="M71" s="315">
        <v>0</v>
      </c>
      <c r="P71" s="109"/>
      <c r="AL71">
        <f t="shared" si="20"/>
        <v>14</v>
      </c>
      <c r="AM71" t="str">
        <f t="shared" si="21"/>
        <v>22 Bæresystemer</v>
      </c>
      <c r="AN71">
        <f t="shared" si="22"/>
        <v>123.50484665669059</v>
      </c>
      <c r="AO71">
        <f t="shared" si="23"/>
        <v>3.6851078260851571</v>
      </c>
      <c r="AP71">
        <f t="shared" si="24"/>
        <v>1.2718995448277577</v>
      </c>
      <c r="AQ71">
        <f t="shared" si="25"/>
        <v>0</v>
      </c>
    </row>
    <row r="72" spans="2:43" hidden="1" x14ac:dyDescent="0.25">
      <c r="B72" s="56"/>
      <c r="C72" s="56"/>
      <c r="E72" s="109"/>
      <c r="G72">
        <v>15</v>
      </c>
      <c r="H72" t="s">
        <v>35</v>
      </c>
      <c r="I72" s="48"/>
      <c r="J72" s="312">
        <v>2.6469759731338116</v>
      </c>
      <c r="K72" s="312">
        <v>7.7783980521703142E-2</v>
      </c>
      <c r="L72" s="312">
        <v>2.7247599536555152E-2</v>
      </c>
      <c r="M72" s="315">
        <v>0</v>
      </c>
      <c r="P72" s="109"/>
      <c r="AL72">
        <f t="shared" si="20"/>
        <v>15</v>
      </c>
      <c r="AM72" t="str">
        <f t="shared" si="21"/>
        <v>22 Bæresystemer</v>
      </c>
      <c r="AN72">
        <f t="shared" si="22"/>
        <v>132.34879865669058</v>
      </c>
      <c r="AO72">
        <f t="shared" si="23"/>
        <v>3.8891990260851572</v>
      </c>
      <c r="AP72">
        <f t="shared" si="24"/>
        <v>1.3623799768277576</v>
      </c>
      <c r="AQ72">
        <f t="shared" si="25"/>
        <v>0</v>
      </c>
    </row>
    <row r="73" spans="2:43" hidden="1" x14ac:dyDescent="0.25">
      <c r="E73" s="109"/>
      <c r="G73">
        <v>16</v>
      </c>
      <c r="H73" t="s">
        <v>35</v>
      </c>
      <c r="I73" s="48"/>
      <c r="J73" s="312">
        <v>2.8351275731338119</v>
      </c>
      <c r="K73" s="312">
        <v>8.2125940521703147E-2</v>
      </c>
      <c r="L73" s="312">
        <v>2.9172535136555145E-2</v>
      </c>
      <c r="M73" s="315">
        <v>0</v>
      </c>
      <c r="P73" s="109"/>
      <c r="AL73">
        <f t="shared" si="20"/>
        <v>16</v>
      </c>
      <c r="AM73" t="str">
        <f t="shared" si="21"/>
        <v>22 Bæresystemer</v>
      </c>
      <c r="AN73">
        <f t="shared" si="22"/>
        <v>141.7563786566906</v>
      </c>
      <c r="AO73">
        <f t="shared" si="23"/>
        <v>4.1062970260851577</v>
      </c>
      <c r="AP73">
        <f t="shared" si="24"/>
        <v>1.4586267568277573</v>
      </c>
      <c r="AQ73">
        <f t="shared" si="25"/>
        <v>0</v>
      </c>
    </row>
    <row r="74" spans="2:43" hidden="1" x14ac:dyDescent="0.25">
      <c r="E74" s="109"/>
      <c r="G74">
        <v>17</v>
      </c>
      <c r="H74" t="s">
        <v>35</v>
      </c>
      <c r="I74" s="48"/>
      <c r="J74" s="312">
        <v>3.0345517331338119</v>
      </c>
      <c r="K74" s="312">
        <v>8.6728036521703147E-2</v>
      </c>
      <c r="L74" s="312">
        <v>3.1212797696555147E-2</v>
      </c>
      <c r="M74" s="315">
        <v>0</v>
      </c>
      <c r="P74" s="109"/>
      <c r="AL74">
        <f t="shared" si="20"/>
        <v>17</v>
      </c>
      <c r="AM74" t="str">
        <f t="shared" si="21"/>
        <v>22 Bæresystemer</v>
      </c>
      <c r="AN74">
        <f t="shared" si="22"/>
        <v>151.72758665669059</v>
      </c>
      <c r="AO74">
        <f t="shared" si="23"/>
        <v>4.3364018260851571</v>
      </c>
      <c r="AP74">
        <f t="shared" si="24"/>
        <v>1.5606398848277574</v>
      </c>
      <c r="AQ74">
        <f t="shared" si="25"/>
        <v>0</v>
      </c>
    </row>
    <row r="75" spans="2:43" hidden="1" x14ac:dyDescent="0.25">
      <c r="E75" s="109"/>
      <c r="G75">
        <v>18</v>
      </c>
      <c r="H75" t="s">
        <v>35</v>
      </c>
      <c r="I75" s="48"/>
      <c r="J75" s="313">
        <v>3.2452484531338119</v>
      </c>
      <c r="K75" s="312">
        <v>9.1590268521703141E-2</v>
      </c>
      <c r="L75" s="312">
        <v>3.3368387216555155E-2</v>
      </c>
      <c r="M75" s="315">
        <v>0</v>
      </c>
      <c r="P75" s="109"/>
      <c r="AL75">
        <f t="shared" si="20"/>
        <v>18</v>
      </c>
      <c r="AM75" t="str">
        <f t="shared" si="21"/>
        <v>22 Bæresystemer</v>
      </c>
      <c r="AN75">
        <f t="shared" si="22"/>
        <v>162.2624226566906</v>
      </c>
      <c r="AO75">
        <f t="shared" si="23"/>
        <v>4.5795134260851569</v>
      </c>
      <c r="AP75">
        <f t="shared" si="24"/>
        <v>1.6684193608277578</v>
      </c>
      <c r="AQ75">
        <f t="shared" si="25"/>
        <v>0</v>
      </c>
    </row>
    <row r="76" spans="2:43" hidden="1" x14ac:dyDescent="0.25">
      <c r="G76">
        <v>19</v>
      </c>
      <c r="H76" t="s">
        <v>35</v>
      </c>
      <c r="I76" s="48"/>
      <c r="J76" s="312">
        <v>3.4672177331338117</v>
      </c>
      <c r="K76" s="312">
        <v>9.6712636521703157E-2</v>
      </c>
      <c r="L76" s="312">
        <v>3.5639303696555144E-2</v>
      </c>
      <c r="M76" s="315">
        <v>0</v>
      </c>
      <c r="P76" s="109"/>
      <c r="AL76">
        <f t="shared" si="20"/>
        <v>19</v>
      </c>
      <c r="AM76" t="str">
        <f t="shared" si="21"/>
        <v>22 Bæresystemer</v>
      </c>
      <c r="AN76">
        <f t="shared" si="22"/>
        <v>173.36088665669058</v>
      </c>
      <c r="AO76">
        <f t="shared" si="23"/>
        <v>4.8356318260851578</v>
      </c>
      <c r="AP76">
        <f t="shared" si="24"/>
        <v>1.7819651848277571</v>
      </c>
      <c r="AQ76">
        <f t="shared" si="25"/>
        <v>0</v>
      </c>
    </row>
    <row r="77" spans="2:43" hidden="1" x14ac:dyDescent="0.25">
      <c r="G77">
        <v>20</v>
      </c>
      <c r="H77" t="s">
        <v>35</v>
      </c>
      <c r="I77" s="48"/>
      <c r="J77" s="312">
        <v>3.7004595731338124</v>
      </c>
      <c r="K77" s="312">
        <v>0.10209514052170315</v>
      </c>
      <c r="L77" s="312">
        <v>3.8025547136555149E-2</v>
      </c>
      <c r="M77" s="315">
        <v>0</v>
      </c>
      <c r="P77" s="109"/>
      <c r="AL77">
        <f t="shared" si="20"/>
        <v>20</v>
      </c>
      <c r="AM77" t="str">
        <f t="shared" si="21"/>
        <v>22 Bæresystemer</v>
      </c>
      <c r="AN77">
        <f t="shared" si="22"/>
        <v>185.02297865669061</v>
      </c>
      <c r="AO77">
        <f t="shared" si="23"/>
        <v>5.1047570260851574</v>
      </c>
      <c r="AP77">
        <f t="shared" si="24"/>
        <v>1.9012773568277574</v>
      </c>
      <c r="AQ77">
        <f t="shared" si="25"/>
        <v>0</v>
      </c>
    </row>
    <row r="81" spans="7:43" hidden="1" x14ac:dyDescent="0.25">
      <c r="G81">
        <v>4</v>
      </c>
      <c r="H81" s="440" t="s">
        <v>36</v>
      </c>
      <c r="I81" s="441"/>
      <c r="J81" s="312">
        <v>0.50169761954087466</v>
      </c>
      <c r="K81" s="312">
        <v>8.5950498173735124E-2</v>
      </c>
      <c r="L81" s="312">
        <v>9.4031431065403209E-3</v>
      </c>
      <c r="M81" s="314">
        <v>0.18801788377252723</v>
      </c>
      <c r="AL81">
        <f t="shared" ref="AL81:AL97" si="26">G81</f>
        <v>4</v>
      </c>
      <c r="AM81" t="str">
        <f t="shared" ref="AM81:AM97" si="27">H81</f>
        <v>23 Yttervegger</v>
      </c>
      <c r="AN81">
        <f t="shared" ref="AN81:AN97" si="28">J81*$D$60</f>
        <v>25.084880977043731</v>
      </c>
      <c r="AO81">
        <f t="shared" ref="AO81:AO97" si="29">K81*$D$60</f>
        <v>4.2975249086867562</v>
      </c>
      <c r="AP81">
        <f t="shared" ref="AP81:AP97" si="30">L81*$D$60</f>
        <v>0.47015715532701607</v>
      </c>
      <c r="AQ81">
        <f t="shared" ref="AQ81:AQ97" si="31">M81*$D$60</f>
        <v>9.4008941886263617</v>
      </c>
    </row>
    <row r="82" spans="7:43" hidden="1" x14ac:dyDescent="0.25">
      <c r="G82">
        <v>5</v>
      </c>
      <c r="H82" s="438" t="s">
        <v>36</v>
      </c>
      <c r="I82" s="439"/>
      <c r="J82" s="312">
        <v>0.60360844756635224</v>
      </c>
      <c r="K82" s="312">
        <v>0.10820843447946758</v>
      </c>
      <c r="L82" s="312">
        <v>1.0668015463228216E-2</v>
      </c>
      <c r="M82" s="314">
        <v>0.2199559107788967</v>
      </c>
      <c r="AL82">
        <f t="shared" si="26"/>
        <v>5</v>
      </c>
      <c r="AM82" t="str">
        <f t="shared" si="27"/>
        <v>23 Yttervegger</v>
      </c>
      <c r="AN82">
        <f t="shared" si="28"/>
        <v>30.180422378317612</v>
      </c>
      <c r="AO82">
        <f t="shared" si="29"/>
        <v>5.4104217239733794</v>
      </c>
      <c r="AP82">
        <f t="shared" si="30"/>
        <v>0.53340077316141077</v>
      </c>
      <c r="AQ82">
        <f t="shared" si="31"/>
        <v>10.997795538944835</v>
      </c>
    </row>
    <row r="83" spans="7:43" hidden="1" x14ac:dyDescent="0.25">
      <c r="G83">
        <v>6</v>
      </c>
      <c r="H83" s="438" t="s">
        <v>36</v>
      </c>
      <c r="I83" s="439"/>
      <c r="J83" s="312">
        <v>0.70551927559183003</v>
      </c>
      <c r="K83" s="312">
        <v>0.1304663707852001</v>
      </c>
      <c r="L83" s="312">
        <v>1.1932887819916114E-2</v>
      </c>
      <c r="M83" s="314">
        <v>0.25189393778526609</v>
      </c>
      <c r="AL83">
        <f t="shared" si="26"/>
        <v>6</v>
      </c>
      <c r="AM83" t="str">
        <f t="shared" si="27"/>
        <v>23 Yttervegger</v>
      </c>
      <c r="AN83">
        <f t="shared" si="28"/>
        <v>35.2759637795915</v>
      </c>
      <c r="AO83">
        <f t="shared" si="29"/>
        <v>6.5233185392600053</v>
      </c>
      <c r="AP83">
        <f t="shared" si="30"/>
        <v>0.59664439099580568</v>
      </c>
      <c r="AQ83">
        <f t="shared" si="31"/>
        <v>12.594696889263304</v>
      </c>
    </row>
    <row r="84" spans="7:43" hidden="1" x14ac:dyDescent="0.25">
      <c r="G84">
        <v>7</v>
      </c>
      <c r="H84" s="438" t="s">
        <v>36</v>
      </c>
      <c r="I84" s="439"/>
      <c r="J84" s="312">
        <v>0.80743010361730772</v>
      </c>
      <c r="K84" s="312">
        <v>0.15272430709093257</v>
      </c>
      <c r="L84" s="312">
        <v>1.3197760176604012E-2</v>
      </c>
      <c r="M84" s="314">
        <v>0.28383196479163553</v>
      </c>
      <c r="AL84">
        <f t="shared" si="26"/>
        <v>7</v>
      </c>
      <c r="AM84" t="str">
        <f t="shared" si="27"/>
        <v>23 Yttervegger</v>
      </c>
      <c r="AN84">
        <f t="shared" si="28"/>
        <v>40.371505180865384</v>
      </c>
      <c r="AO84">
        <f t="shared" si="29"/>
        <v>7.6362153545466285</v>
      </c>
      <c r="AP84">
        <f t="shared" si="30"/>
        <v>0.6598880088302006</v>
      </c>
      <c r="AQ84">
        <f t="shared" si="31"/>
        <v>14.191598239581776</v>
      </c>
    </row>
    <row r="85" spans="7:43" hidden="1" x14ac:dyDescent="0.25">
      <c r="G85">
        <v>8</v>
      </c>
      <c r="H85" s="438" t="s">
        <v>36</v>
      </c>
      <c r="I85" s="439"/>
      <c r="J85" s="312">
        <v>0.9093409316427854</v>
      </c>
      <c r="K85" s="312">
        <v>0.17498224339666507</v>
      </c>
      <c r="L85" s="312">
        <v>1.446263253329191E-2</v>
      </c>
      <c r="M85" s="314">
        <v>0.31576999179800497</v>
      </c>
      <c r="AL85">
        <f t="shared" si="26"/>
        <v>8</v>
      </c>
      <c r="AM85" t="str">
        <f t="shared" si="27"/>
        <v>23 Yttervegger</v>
      </c>
      <c r="AN85">
        <f t="shared" si="28"/>
        <v>45.467046582139268</v>
      </c>
      <c r="AO85">
        <f t="shared" si="29"/>
        <v>8.7491121698332535</v>
      </c>
      <c r="AP85">
        <f t="shared" si="30"/>
        <v>0.72313162666459552</v>
      </c>
      <c r="AQ85">
        <f t="shared" si="31"/>
        <v>15.788499589900248</v>
      </c>
    </row>
    <row r="86" spans="7:43" hidden="1" x14ac:dyDescent="0.25">
      <c r="G86">
        <v>9</v>
      </c>
      <c r="H86" s="438" t="s">
        <v>36</v>
      </c>
      <c r="I86" s="439"/>
      <c r="J86" s="312">
        <v>1.0112517596682631</v>
      </c>
      <c r="K86" s="312">
        <v>0.19724017970239754</v>
      </c>
      <c r="L86" s="312">
        <v>1.5727504889979808E-2</v>
      </c>
      <c r="M86" s="314">
        <v>0.34770801880437441</v>
      </c>
      <c r="AL86">
        <f t="shared" si="26"/>
        <v>9</v>
      </c>
      <c r="AM86" t="str">
        <f t="shared" si="27"/>
        <v>23 Yttervegger</v>
      </c>
      <c r="AN86">
        <f t="shared" si="28"/>
        <v>50.562587983413152</v>
      </c>
      <c r="AO86">
        <f t="shared" si="29"/>
        <v>9.8620089851198767</v>
      </c>
      <c r="AP86">
        <f t="shared" si="30"/>
        <v>0.78637524449899043</v>
      </c>
      <c r="AQ86">
        <f t="shared" si="31"/>
        <v>17.38540094021872</v>
      </c>
    </row>
    <row r="87" spans="7:43" hidden="1" x14ac:dyDescent="0.25">
      <c r="G87">
        <v>10</v>
      </c>
      <c r="H87" s="438" t="s">
        <v>36</v>
      </c>
      <c r="I87" s="439"/>
      <c r="J87" s="312">
        <v>1.1131625876937408</v>
      </c>
      <c r="K87" s="312">
        <v>0.21949811600813005</v>
      </c>
      <c r="L87" s="312">
        <v>1.6992377246667707E-2</v>
      </c>
      <c r="M87" s="314">
        <v>0.37964604581074374</v>
      </c>
      <c r="AL87">
        <f t="shared" si="26"/>
        <v>10</v>
      </c>
      <c r="AM87" t="str">
        <f t="shared" si="27"/>
        <v>23 Yttervegger</v>
      </c>
      <c r="AN87">
        <f t="shared" si="28"/>
        <v>55.658129384687037</v>
      </c>
      <c r="AO87">
        <f t="shared" si="29"/>
        <v>10.974905800406502</v>
      </c>
      <c r="AP87">
        <f t="shared" si="30"/>
        <v>0.84961886233338535</v>
      </c>
      <c r="AQ87">
        <f t="shared" si="31"/>
        <v>18.982302290537188</v>
      </c>
    </row>
    <row r="88" spans="7:43" hidden="1" x14ac:dyDescent="0.25">
      <c r="G88">
        <v>11</v>
      </c>
      <c r="H88" s="438" t="s">
        <v>36</v>
      </c>
      <c r="I88" s="439"/>
      <c r="J88" s="312">
        <v>1.2150734157192185</v>
      </c>
      <c r="K88" s="312">
        <v>0.24175605231386249</v>
      </c>
      <c r="L88" s="312">
        <v>1.8257249603355605E-2</v>
      </c>
      <c r="M88" s="314">
        <v>0.41158407281711318</v>
      </c>
      <c r="AL88">
        <f t="shared" si="26"/>
        <v>11</v>
      </c>
      <c r="AM88" t="str">
        <f t="shared" si="27"/>
        <v>23 Yttervegger</v>
      </c>
      <c r="AN88">
        <f t="shared" si="28"/>
        <v>60.753670785960921</v>
      </c>
      <c r="AO88">
        <f t="shared" si="29"/>
        <v>12.087802615693125</v>
      </c>
      <c r="AP88">
        <f t="shared" si="30"/>
        <v>0.91286248016778027</v>
      </c>
      <c r="AQ88">
        <f t="shared" si="31"/>
        <v>20.57920364085566</v>
      </c>
    </row>
    <row r="89" spans="7:43" hidden="1" x14ac:dyDescent="0.25">
      <c r="G89">
        <v>12</v>
      </c>
      <c r="H89" s="438" t="s">
        <v>36</v>
      </c>
      <c r="I89" s="439"/>
      <c r="J89" s="312">
        <v>1.3169842437446961</v>
      </c>
      <c r="K89" s="312">
        <v>0.26401398861959502</v>
      </c>
      <c r="L89" s="312">
        <v>1.9522121960043503E-2</v>
      </c>
      <c r="M89" s="314">
        <v>0.44352209982348273</v>
      </c>
      <c r="AL89">
        <f t="shared" si="26"/>
        <v>12</v>
      </c>
      <c r="AM89" t="str">
        <f t="shared" si="27"/>
        <v>23 Yttervegger</v>
      </c>
      <c r="AN89">
        <f t="shared" si="28"/>
        <v>65.849212187234812</v>
      </c>
      <c r="AO89">
        <f t="shared" si="29"/>
        <v>13.200699430979752</v>
      </c>
      <c r="AP89">
        <f t="shared" si="30"/>
        <v>0.97610609800217518</v>
      </c>
      <c r="AQ89">
        <f t="shared" si="31"/>
        <v>22.176104991174135</v>
      </c>
    </row>
    <row r="90" spans="7:43" hidden="1" x14ac:dyDescent="0.25">
      <c r="G90">
        <v>13</v>
      </c>
      <c r="H90" s="438" t="s">
        <v>36</v>
      </c>
      <c r="I90" s="439"/>
      <c r="J90" s="312">
        <v>1.4188950717701738</v>
      </c>
      <c r="K90" s="312">
        <v>0.28627192492532738</v>
      </c>
      <c r="L90" s="312">
        <v>2.0786994316731401E-2</v>
      </c>
      <c r="M90" s="314">
        <v>0.47546012682985206</v>
      </c>
      <c r="AL90">
        <f t="shared" si="26"/>
        <v>13</v>
      </c>
      <c r="AM90" t="str">
        <f t="shared" si="27"/>
        <v>23 Yttervegger</v>
      </c>
      <c r="AN90">
        <f t="shared" si="28"/>
        <v>70.944753588508689</v>
      </c>
      <c r="AO90">
        <f t="shared" si="29"/>
        <v>14.31359624626637</v>
      </c>
      <c r="AP90">
        <f t="shared" si="30"/>
        <v>1.0393497158365701</v>
      </c>
      <c r="AQ90">
        <f t="shared" si="31"/>
        <v>23.773006341492604</v>
      </c>
    </row>
    <row r="91" spans="7:43" hidden="1" x14ac:dyDescent="0.25">
      <c r="G91">
        <v>14</v>
      </c>
      <c r="H91" s="438" t="s">
        <v>36</v>
      </c>
      <c r="I91" s="439"/>
      <c r="J91" s="312">
        <v>1.5208058997956515</v>
      </c>
      <c r="K91" s="312">
        <v>0.30852986123105997</v>
      </c>
      <c r="L91" s="312">
        <v>2.2051866673419299E-2</v>
      </c>
      <c r="M91" s="314">
        <v>0.50739815383622155</v>
      </c>
      <c r="AL91">
        <f t="shared" si="26"/>
        <v>14</v>
      </c>
      <c r="AM91" t="str">
        <f t="shared" si="27"/>
        <v>23 Yttervegger</v>
      </c>
      <c r="AN91">
        <f t="shared" si="28"/>
        <v>76.040294989782581</v>
      </c>
      <c r="AO91">
        <f t="shared" si="29"/>
        <v>15.426493061552998</v>
      </c>
      <c r="AP91">
        <f t="shared" si="30"/>
        <v>1.102593333670965</v>
      </c>
      <c r="AQ91">
        <f t="shared" si="31"/>
        <v>25.369907691811079</v>
      </c>
    </row>
    <row r="92" spans="7:43" hidden="1" x14ac:dyDescent="0.25">
      <c r="G92">
        <v>15</v>
      </c>
      <c r="H92" s="438" t="s">
        <v>36</v>
      </c>
      <c r="I92" s="439"/>
      <c r="J92" s="312">
        <v>1.6227167278211292</v>
      </c>
      <c r="K92" s="312">
        <v>0.33078779753679244</v>
      </c>
      <c r="L92" s="312">
        <v>2.3316739030107198E-2</v>
      </c>
      <c r="M92" s="314">
        <v>0.53933618084259083</v>
      </c>
      <c r="AL92">
        <f t="shared" si="26"/>
        <v>15</v>
      </c>
      <c r="AM92" t="str">
        <f t="shared" si="27"/>
        <v>23 Yttervegger</v>
      </c>
      <c r="AN92">
        <f t="shared" si="28"/>
        <v>81.135836391056458</v>
      </c>
      <c r="AO92">
        <f t="shared" si="29"/>
        <v>16.539389876839621</v>
      </c>
      <c r="AP92">
        <f t="shared" si="30"/>
        <v>1.1658369515053599</v>
      </c>
      <c r="AQ92">
        <f t="shared" si="31"/>
        <v>26.96680904212954</v>
      </c>
    </row>
    <row r="93" spans="7:43" hidden="1" x14ac:dyDescent="0.25">
      <c r="G93">
        <v>16</v>
      </c>
      <c r="H93" s="438" t="s">
        <v>36</v>
      </c>
      <c r="I93" s="439"/>
      <c r="J93" s="312">
        <v>1.7246275558466069</v>
      </c>
      <c r="K93" s="312">
        <v>0.35304573384252491</v>
      </c>
      <c r="L93" s="312">
        <v>2.4581611386795096E-2</v>
      </c>
      <c r="M93" s="314">
        <v>0.57127420784896032</v>
      </c>
      <c r="AL93">
        <f t="shared" si="26"/>
        <v>16</v>
      </c>
      <c r="AM93" t="str">
        <f t="shared" si="27"/>
        <v>23 Yttervegger</v>
      </c>
      <c r="AN93">
        <f t="shared" si="28"/>
        <v>86.231377792330349</v>
      </c>
      <c r="AO93">
        <f t="shared" si="29"/>
        <v>17.652286692126246</v>
      </c>
      <c r="AP93">
        <f t="shared" si="30"/>
        <v>1.2290805693397548</v>
      </c>
      <c r="AQ93">
        <f t="shared" si="31"/>
        <v>28.563710392448016</v>
      </c>
    </row>
    <row r="94" spans="7:43" hidden="1" x14ac:dyDescent="0.25">
      <c r="G94">
        <v>17</v>
      </c>
      <c r="H94" s="438" t="s">
        <v>36</v>
      </c>
      <c r="I94" s="439"/>
      <c r="J94" s="312">
        <v>1.8265383838720846</v>
      </c>
      <c r="K94" s="312">
        <v>0.37530367014825733</v>
      </c>
      <c r="L94" s="312">
        <v>2.5846483743482994E-2</v>
      </c>
      <c r="M94" s="314">
        <v>0.60321223485532971</v>
      </c>
      <c r="AL94">
        <f t="shared" si="26"/>
        <v>17</v>
      </c>
      <c r="AM94" t="str">
        <f t="shared" si="27"/>
        <v>23 Yttervegger</v>
      </c>
      <c r="AN94">
        <f t="shared" si="28"/>
        <v>91.326919193604226</v>
      </c>
      <c r="AO94">
        <f t="shared" si="29"/>
        <v>18.765183507412868</v>
      </c>
      <c r="AP94">
        <f t="shared" si="30"/>
        <v>1.2923241871741498</v>
      </c>
      <c r="AQ94">
        <f t="shared" si="31"/>
        <v>30.160611742766484</v>
      </c>
    </row>
    <row r="95" spans="7:43" hidden="1" x14ac:dyDescent="0.25">
      <c r="G95">
        <v>18</v>
      </c>
      <c r="H95" s="438" t="s">
        <v>36</v>
      </c>
      <c r="I95" s="439"/>
      <c r="J95" s="313">
        <v>1.9284492118975622</v>
      </c>
      <c r="K95" s="312">
        <v>0.3975616064539898</v>
      </c>
      <c r="L95" s="312">
        <v>2.7111356100170892E-2</v>
      </c>
      <c r="M95" s="314">
        <v>0.63515026186169921</v>
      </c>
      <c r="AL95">
        <f t="shared" si="26"/>
        <v>18</v>
      </c>
      <c r="AM95" t="str">
        <f t="shared" si="27"/>
        <v>23 Yttervegger</v>
      </c>
      <c r="AN95">
        <f t="shared" si="28"/>
        <v>96.422460594878117</v>
      </c>
      <c r="AO95">
        <f t="shared" si="29"/>
        <v>19.878080322699489</v>
      </c>
      <c r="AP95">
        <f t="shared" si="30"/>
        <v>1.3555678050085447</v>
      </c>
      <c r="AQ95">
        <f t="shared" si="31"/>
        <v>31.75751309308496</v>
      </c>
    </row>
    <row r="96" spans="7:43" hidden="1" x14ac:dyDescent="0.25">
      <c r="G96">
        <v>19</v>
      </c>
      <c r="H96" s="438" t="s">
        <v>36</v>
      </c>
      <c r="I96" s="439"/>
      <c r="J96" s="312">
        <v>2.0303600399230404</v>
      </c>
      <c r="K96" s="312">
        <v>0.41981954275972233</v>
      </c>
      <c r="L96" s="312">
        <v>2.8376228456858787E-2</v>
      </c>
      <c r="M96" s="314">
        <v>0.66708828886806859</v>
      </c>
      <c r="AL96">
        <f t="shared" si="26"/>
        <v>19</v>
      </c>
      <c r="AM96" t="str">
        <f t="shared" si="27"/>
        <v>23 Yttervegger</v>
      </c>
      <c r="AN96">
        <f t="shared" si="28"/>
        <v>101.51800199615202</v>
      </c>
      <c r="AO96">
        <f t="shared" si="29"/>
        <v>20.990977137986118</v>
      </c>
      <c r="AP96">
        <f t="shared" si="30"/>
        <v>1.4188114228429394</v>
      </c>
      <c r="AQ96">
        <f t="shared" si="31"/>
        <v>33.354414443403428</v>
      </c>
    </row>
    <row r="97" spans="7:43" hidden="1" x14ac:dyDescent="0.25">
      <c r="G97">
        <v>20</v>
      </c>
      <c r="H97" s="438" t="s">
        <v>36</v>
      </c>
      <c r="I97" s="439"/>
      <c r="J97" s="312">
        <v>2.1322708679485176</v>
      </c>
      <c r="K97" s="312">
        <v>0.44207747906545486</v>
      </c>
      <c r="L97" s="312">
        <v>2.9641100813546692E-2</v>
      </c>
      <c r="M97" s="314">
        <v>0.69902631587443809</v>
      </c>
      <c r="AL97">
        <f t="shared" si="26"/>
        <v>20</v>
      </c>
      <c r="AM97" t="str">
        <f t="shared" si="27"/>
        <v>23 Yttervegger</v>
      </c>
      <c r="AN97">
        <f t="shared" si="28"/>
        <v>106.61354339742589</v>
      </c>
      <c r="AO97">
        <f t="shared" si="29"/>
        <v>22.103873953272743</v>
      </c>
      <c r="AP97">
        <f t="shared" si="30"/>
        <v>1.4820550406773345</v>
      </c>
      <c r="AQ97">
        <f t="shared" si="31"/>
        <v>34.951315793721903</v>
      </c>
    </row>
    <row r="101" spans="7:43" hidden="1" x14ac:dyDescent="0.25">
      <c r="G101">
        <v>4</v>
      </c>
      <c r="H101" s="440" t="s">
        <v>37</v>
      </c>
      <c r="I101" s="441"/>
      <c r="J101" s="312">
        <v>0.10671974522292993</v>
      </c>
      <c r="K101" s="312">
        <v>2.0209750346691216E-2</v>
      </c>
      <c r="L101" s="312">
        <v>1.1695898089171975E-3</v>
      </c>
      <c r="M101" s="312">
        <v>4.3072117010032308E-2</v>
      </c>
      <c r="AL101">
        <f t="shared" ref="AL101:AL117" si="32">G101</f>
        <v>4</v>
      </c>
      <c r="AM101" t="str">
        <f t="shared" ref="AM101:AM117" si="33">H101</f>
        <v>24 Innervegger</v>
      </c>
      <c r="AN101">
        <f t="shared" ref="AN101:AN117" si="34">J101*$D$60</f>
        <v>5.3359872611464967</v>
      </c>
      <c r="AO101">
        <f t="shared" ref="AO101:AO117" si="35">K101*$D$60</f>
        <v>1.0104875173345609</v>
      </c>
      <c r="AP101">
        <f t="shared" ref="AP101:AP117" si="36">L101*$D$60</f>
        <v>5.8479490445859872E-2</v>
      </c>
      <c r="AQ101">
        <f t="shared" ref="AQ101:AQ117" si="37">M101*$D$60</f>
        <v>2.1536058505016156</v>
      </c>
    </row>
    <row r="102" spans="7:43" hidden="1" x14ac:dyDescent="0.25">
      <c r="G102">
        <v>5</v>
      </c>
      <c r="H102" s="438" t="s">
        <v>37</v>
      </c>
      <c r="I102" s="439"/>
      <c r="J102" s="312">
        <v>0.13041401273885353</v>
      </c>
      <c r="K102" s="312">
        <v>2.5175610219302688E-2</v>
      </c>
      <c r="L102" s="312">
        <v>1.4619872611464971E-3</v>
      </c>
      <c r="M102" s="312">
        <v>5.0455152678822113E-2</v>
      </c>
      <c r="AL102">
        <f t="shared" si="32"/>
        <v>5</v>
      </c>
      <c r="AM102" t="str">
        <f t="shared" si="33"/>
        <v>24 Innervegger</v>
      </c>
      <c r="AN102">
        <f t="shared" si="34"/>
        <v>6.5207006369426761</v>
      </c>
      <c r="AO102">
        <f t="shared" si="35"/>
        <v>1.2587805109651344</v>
      </c>
      <c r="AP102">
        <f t="shared" si="36"/>
        <v>7.3099363057324854E-2</v>
      </c>
      <c r="AQ102">
        <f t="shared" si="37"/>
        <v>2.5227576339411057</v>
      </c>
    </row>
    <row r="103" spans="7:43" hidden="1" x14ac:dyDescent="0.25">
      <c r="G103">
        <v>6</v>
      </c>
      <c r="H103" s="438" t="s">
        <v>37</v>
      </c>
      <c r="I103" s="439"/>
      <c r="J103" s="312">
        <v>0.15410828025477707</v>
      </c>
      <c r="K103" s="312">
        <v>3.0141470091914147E-2</v>
      </c>
      <c r="L103" s="312">
        <v>1.7543847133757963E-3</v>
      </c>
      <c r="M103" s="312">
        <v>5.7838188347611917E-2</v>
      </c>
      <c r="AL103">
        <f t="shared" si="32"/>
        <v>6</v>
      </c>
      <c r="AM103" t="str">
        <f t="shared" si="33"/>
        <v>24 Innervegger</v>
      </c>
      <c r="AN103">
        <f t="shared" si="34"/>
        <v>7.7054140127388537</v>
      </c>
      <c r="AO103">
        <f t="shared" si="35"/>
        <v>1.5070735045957073</v>
      </c>
      <c r="AP103">
        <f t="shared" si="36"/>
        <v>8.7719235668789808E-2</v>
      </c>
      <c r="AQ103">
        <f t="shared" si="37"/>
        <v>2.8919094173805959</v>
      </c>
    </row>
    <row r="104" spans="7:43" hidden="1" x14ac:dyDescent="0.25">
      <c r="G104">
        <v>7</v>
      </c>
      <c r="H104" s="438" t="s">
        <v>37</v>
      </c>
      <c r="I104" s="439"/>
      <c r="J104" s="312">
        <v>0.17780254777070062</v>
      </c>
      <c r="K104" s="312">
        <v>3.5107329964525612E-2</v>
      </c>
      <c r="L104" s="312">
        <v>2.0467821656050952E-3</v>
      </c>
      <c r="M104" s="312">
        <v>6.5221224016401735E-2</v>
      </c>
      <c r="AL104">
        <f t="shared" si="32"/>
        <v>7</v>
      </c>
      <c r="AM104" t="str">
        <f t="shared" si="33"/>
        <v>24 Innervegger</v>
      </c>
      <c r="AN104">
        <f t="shared" si="34"/>
        <v>8.8901273885350314</v>
      </c>
      <c r="AO104">
        <f t="shared" si="35"/>
        <v>1.7553664982262807</v>
      </c>
      <c r="AP104">
        <f t="shared" si="36"/>
        <v>0.10233910828025476</v>
      </c>
      <c r="AQ104">
        <f t="shared" si="37"/>
        <v>3.2610612008200865</v>
      </c>
    </row>
    <row r="105" spans="7:43" hidden="1" x14ac:dyDescent="0.25">
      <c r="G105">
        <v>8</v>
      </c>
      <c r="H105" s="438" t="s">
        <v>37</v>
      </c>
      <c r="I105" s="439"/>
      <c r="J105" s="312">
        <v>0.20149681528662419</v>
      </c>
      <c r="K105" s="312">
        <v>4.0073189837137077E-2</v>
      </c>
      <c r="L105" s="312">
        <v>2.339179617834395E-3</v>
      </c>
      <c r="M105" s="312">
        <v>7.2604259685191547E-2</v>
      </c>
      <c r="AL105">
        <f t="shared" si="32"/>
        <v>8</v>
      </c>
      <c r="AM105" t="str">
        <f t="shared" si="33"/>
        <v>24 Innervegger</v>
      </c>
      <c r="AN105">
        <f t="shared" si="34"/>
        <v>10.07484076433121</v>
      </c>
      <c r="AO105">
        <f t="shared" si="35"/>
        <v>2.0036594918568538</v>
      </c>
      <c r="AP105">
        <f t="shared" si="36"/>
        <v>0.11695898089171974</v>
      </c>
      <c r="AQ105">
        <f t="shared" si="37"/>
        <v>3.6302129842595772</v>
      </c>
    </row>
    <row r="106" spans="7:43" hidden="1" x14ac:dyDescent="0.25">
      <c r="G106">
        <v>9</v>
      </c>
      <c r="H106" s="438" t="s">
        <v>37</v>
      </c>
      <c r="I106" s="439"/>
      <c r="J106" s="312">
        <v>0.22519108280254779</v>
      </c>
      <c r="K106" s="312">
        <v>4.5039049709748535E-2</v>
      </c>
      <c r="L106" s="312">
        <v>2.6315770700636948E-3</v>
      </c>
      <c r="M106" s="312">
        <v>7.9987295353981358E-2</v>
      </c>
      <c r="AL106">
        <f t="shared" si="32"/>
        <v>9</v>
      </c>
      <c r="AM106" t="str">
        <f t="shared" si="33"/>
        <v>24 Innervegger</v>
      </c>
      <c r="AN106">
        <f t="shared" si="34"/>
        <v>11.25955414012739</v>
      </c>
      <c r="AO106">
        <f t="shared" si="35"/>
        <v>2.2519524854874269</v>
      </c>
      <c r="AP106">
        <f t="shared" si="36"/>
        <v>0.13157885350318474</v>
      </c>
      <c r="AQ106">
        <f t="shared" si="37"/>
        <v>3.9993647676990678</v>
      </c>
    </row>
    <row r="107" spans="7:43" hidden="1" x14ac:dyDescent="0.25">
      <c r="G107">
        <v>10</v>
      </c>
      <c r="H107" s="438" t="s">
        <v>37</v>
      </c>
      <c r="I107" s="439"/>
      <c r="J107" s="312">
        <v>0.24888535031847137</v>
      </c>
      <c r="K107" s="312">
        <v>5.0004909582360008E-2</v>
      </c>
      <c r="L107" s="312">
        <v>2.9239745222929942E-3</v>
      </c>
      <c r="M107" s="312">
        <v>8.7370331022771169E-2</v>
      </c>
      <c r="AL107">
        <f t="shared" si="32"/>
        <v>10</v>
      </c>
      <c r="AM107" t="str">
        <f t="shared" si="33"/>
        <v>24 Innervegger</v>
      </c>
      <c r="AN107">
        <f t="shared" si="34"/>
        <v>12.444267515923569</v>
      </c>
      <c r="AO107">
        <f t="shared" si="35"/>
        <v>2.5002454791180004</v>
      </c>
      <c r="AP107">
        <f t="shared" si="36"/>
        <v>0.14619872611464971</v>
      </c>
      <c r="AQ107">
        <f t="shared" si="37"/>
        <v>4.3685165511385584</v>
      </c>
    </row>
    <row r="108" spans="7:43" hidden="1" x14ac:dyDescent="0.25">
      <c r="G108">
        <v>11</v>
      </c>
      <c r="H108" s="438" t="s">
        <v>37</v>
      </c>
      <c r="I108" s="439"/>
      <c r="J108" s="312">
        <v>0.27257961783439488</v>
      </c>
      <c r="K108" s="312">
        <v>5.4970769454971473E-2</v>
      </c>
      <c r="L108" s="312">
        <v>3.2163719745222936E-3</v>
      </c>
      <c r="M108" s="312">
        <v>9.4753366691560981E-2</v>
      </c>
      <c r="AL108">
        <f t="shared" si="32"/>
        <v>11</v>
      </c>
      <c r="AM108" t="str">
        <f t="shared" si="33"/>
        <v>24 Innervegger</v>
      </c>
      <c r="AN108">
        <f t="shared" si="34"/>
        <v>13.628980891719744</v>
      </c>
      <c r="AO108">
        <f t="shared" si="35"/>
        <v>2.7485384727485735</v>
      </c>
      <c r="AP108">
        <f t="shared" si="36"/>
        <v>0.16081859872611468</v>
      </c>
      <c r="AQ108">
        <f t="shared" si="37"/>
        <v>4.737668334578049</v>
      </c>
    </row>
    <row r="109" spans="7:43" hidden="1" x14ac:dyDescent="0.25">
      <c r="G109">
        <v>12</v>
      </c>
      <c r="H109" s="438" t="s">
        <v>37</v>
      </c>
      <c r="I109" s="439"/>
      <c r="J109" s="312">
        <v>0.29627388535031846</v>
      </c>
      <c r="K109" s="312">
        <v>5.9936629327582931E-2</v>
      </c>
      <c r="L109" s="312">
        <v>3.5087694267515925E-3</v>
      </c>
      <c r="M109" s="312">
        <v>0.10213640236035078</v>
      </c>
      <c r="AL109">
        <f t="shared" si="32"/>
        <v>12</v>
      </c>
      <c r="AM109" t="str">
        <f t="shared" si="33"/>
        <v>24 Innervegger</v>
      </c>
      <c r="AN109">
        <f t="shared" si="34"/>
        <v>14.813694267515922</v>
      </c>
      <c r="AO109">
        <f t="shared" si="35"/>
        <v>2.9968314663791467</v>
      </c>
      <c r="AP109">
        <f t="shared" si="36"/>
        <v>0.17543847133757962</v>
      </c>
      <c r="AQ109">
        <f t="shared" si="37"/>
        <v>5.1068201180175388</v>
      </c>
    </row>
    <row r="110" spans="7:43" hidden="1" x14ac:dyDescent="0.25">
      <c r="G110">
        <v>13</v>
      </c>
      <c r="H110" s="438" t="s">
        <v>37</v>
      </c>
      <c r="I110" s="439"/>
      <c r="J110" s="312">
        <v>0.31996815286624203</v>
      </c>
      <c r="K110" s="312">
        <v>6.4902489200194396E-2</v>
      </c>
      <c r="L110" s="312">
        <v>3.8011668789808923E-3</v>
      </c>
      <c r="M110" s="312">
        <v>0.1095194380291406</v>
      </c>
      <c r="AL110">
        <f t="shared" si="32"/>
        <v>13</v>
      </c>
      <c r="AM110" t="str">
        <f t="shared" si="33"/>
        <v>24 Innervegger</v>
      </c>
      <c r="AN110">
        <f t="shared" si="34"/>
        <v>15.998407643312101</v>
      </c>
      <c r="AO110">
        <f t="shared" si="35"/>
        <v>3.2451244600097198</v>
      </c>
      <c r="AP110">
        <f t="shared" si="36"/>
        <v>0.19005834394904461</v>
      </c>
      <c r="AQ110">
        <f t="shared" si="37"/>
        <v>5.4759719014570303</v>
      </c>
    </row>
    <row r="111" spans="7:43" hidden="1" x14ac:dyDescent="0.25">
      <c r="G111">
        <v>14</v>
      </c>
      <c r="H111" s="438" t="s">
        <v>37</v>
      </c>
      <c r="I111" s="439"/>
      <c r="J111" s="312">
        <v>0.3436624203821656</v>
      </c>
      <c r="K111" s="312">
        <v>6.9868349072805869E-2</v>
      </c>
      <c r="L111" s="312">
        <v>4.0935643312101904E-3</v>
      </c>
      <c r="M111" s="312">
        <v>0.1169024736979304</v>
      </c>
      <c r="AL111">
        <f t="shared" si="32"/>
        <v>14</v>
      </c>
      <c r="AM111" t="str">
        <f t="shared" si="33"/>
        <v>24 Innervegger</v>
      </c>
      <c r="AN111">
        <f t="shared" si="34"/>
        <v>17.183121019108281</v>
      </c>
      <c r="AO111">
        <f t="shared" si="35"/>
        <v>3.4934174536402933</v>
      </c>
      <c r="AP111">
        <f t="shared" si="36"/>
        <v>0.20467821656050952</v>
      </c>
      <c r="AQ111">
        <f t="shared" si="37"/>
        <v>5.84512368489652</v>
      </c>
    </row>
    <row r="112" spans="7:43" hidden="1" x14ac:dyDescent="0.25">
      <c r="G112">
        <v>15</v>
      </c>
      <c r="H112" s="438" t="s">
        <v>37</v>
      </c>
      <c r="I112" s="439"/>
      <c r="J112" s="312">
        <v>0.36735668789808917</v>
      </c>
      <c r="K112" s="312">
        <v>7.4834208945417313E-2</v>
      </c>
      <c r="L112" s="312">
        <v>4.3859617834394902E-3</v>
      </c>
      <c r="M112" s="312">
        <v>0.12428550936672021</v>
      </c>
      <c r="AL112">
        <f t="shared" si="32"/>
        <v>15</v>
      </c>
      <c r="AM112" t="str">
        <f t="shared" si="33"/>
        <v>24 Innervegger</v>
      </c>
      <c r="AN112">
        <f t="shared" si="34"/>
        <v>18.36783439490446</v>
      </c>
      <c r="AO112">
        <f t="shared" si="35"/>
        <v>3.7417104472708655</v>
      </c>
      <c r="AP112">
        <f t="shared" si="36"/>
        <v>0.21929808917197452</v>
      </c>
      <c r="AQ112">
        <f t="shared" si="37"/>
        <v>6.2142754683360106</v>
      </c>
    </row>
    <row r="113" spans="6:43" hidden="1" x14ac:dyDescent="0.25">
      <c r="G113">
        <v>16</v>
      </c>
      <c r="H113" s="438" t="s">
        <v>37</v>
      </c>
      <c r="I113" s="439"/>
      <c r="J113" s="312">
        <v>0.39105095541401275</v>
      </c>
      <c r="K113" s="312">
        <v>7.9800068818028785E-2</v>
      </c>
      <c r="L113" s="312">
        <v>4.67835923566879E-3</v>
      </c>
      <c r="M113" s="312">
        <v>0.13166854503551001</v>
      </c>
      <c r="AL113">
        <f t="shared" si="32"/>
        <v>16</v>
      </c>
      <c r="AM113" t="str">
        <f t="shared" si="33"/>
        <v>24 Innervegger</v>
      </c>
      <c r="AN113">
        <f t="shared" si="34"/>
        <v>19.552547770700638</v>
      </c>
      <c r="AO113">
        <f t="shared" si="35"/>
        <v>3.9900034409014391</v>
      </c>
      <c r="AP113">
        <f t="shared" si="36"/>
        <v>0.23391796178343949</v>
      </c>
      <c r="AQ113">
        <f t="shared" si="37"/>
        <v>6.5834272517755004</v>
      </c>
    </row>
    <row r="114" spans="6:43" hidden="1" x14ac:dyDescent="0.25">
      <c r="G114">
        <v>17</v>
      </c>
      <c r="H114" s="438" t="s">
        <v>37</v>
      </c>
      <c r="I114" s="439"/>
      <c r="J114" s="312">
        <v>0.41474522292993632</v>
      </c>
      <c r="K114" s="312">
        <v>8.4765928690640258E-2</v>
      </c>
      <c r="L114" s="312">
        <v>4.970756687898089E-3</v>
      </c>
      <c r="M114" s="312">
        <v>0.13905158070429985</v>
      </c>
      <c r="AL114">
        <f t="shared" si="32"/>
        <v>17</v>
      </c>
      <c r="AM114" t="str">
        <f t="shared" si="33"/>
        <v>24 Innervegger</v>
      </c>
      <c r="AN114">
        <f t="shared" si="34"/>
        <v>20.737261146496817</v>
      </c>
      <c r="AO114">
        <f t="shared" si="35"/>
        <v>4.2382964345320131</v>
      </c>
      <c r="AP114">
        <f t="shared" si="36"/>
        <v>0.24853783439490446</v>
      </c>
      <c r="AQ114">
        <f t="shared" si="37"/>
        <v>6.9525790352149928</v>
      </c>
    </row>
    <row r="115" spans="6:43" hidden="1" x14ac:dyDescent="0.25">
      <c r="G115">
        <v>18</v>
      </c>
      <c r="H115" s="438" t="s">
        <v>37</v>
      </c>
      <c r="I115" s="439"/>
      <c r="J115" s="313">
        <v>0.43843949044585989</v>
      </c>
      <c r="K115" s="312">
        <v>8.9731788563251716E-2</v>
      </c>
      <c r="L115" s="312">
        <v>5.2631541401273896E-3</v>
      </c>
      <c r="M115" s="312">
        <v>0.14643461637308966</v>
      </c>
      <c r="AL115">
        <f t="shared" si="32"/>
        <v>18</v>
      </c>
      <c r="AM115" t="str">
        <f t="shared" si="33"/>
        <v>24 Innervegger</v>
      </c>
      <c r="AN115">
        <f t="shared" si="34"/>
        <v>21.921974522292995</v>
      </c>
      <c r="AO115">
        <f t="shared" si="35"/>
        <v>4.4865894281625858</v>
      </c>
      <c r="AP115">
        <f t="shared" si="36"/>
        <v>0.26315770700636948</v>
      </c>
      <c r="AQ115">
        <f t="shared" si="37"/>
        <v>7.3217308186544834</v>
      </c>
    </row>
    <row r="116" spans="6:43" hidden="1" x14ac:dyDescent="0.25">
      <c r="G116">
        <v>19</v>
      </c>
      <c r="H116" s="438" t="s">
        <v>37</v>
      </c>
      <c r="I116" s="439"/>
      <c r="J116" s="312">
        <v>0.46213375796178346</v>
      </c>
      <c r="K116" s="312">
        <v>9.4697648435863188E-2</v>
      </c>
      <c r="L116" s="312">
        <v>5.5555515923566877E-3</v>
      </c>
      <c r="M116" s="312">
        <v>0.15381765204187944</v>
      </c>
      <c r="AL116">
        <f t="shared" si="32"/>
        <v>19</v>
      </c>
      <c r="AM116" t="str">
        <f t="shared" si="33"/>
        <v>24 Innervegger</v>
      </c>
      <c r="AN116">
        <f t="shared" si="34"/>
        <v>23.106687898089174</v>
      </c>
      <c r="AO116">
        <f t="shared" si="35"/>
        <v>4.7348824217931593</v>
      </c>
      <c r="AP116">
        <f t="shared" si="36"/>
        <v>0.27777757961783439</v>
      </c>
      <c r="AQ116">
        <f t="shared" si="37"/>
        <v>7.6908826020939722</v>
      </c>
    </row>
    <row r="117" spans="6:43" hidden="1" x14ac:dyDescent="0.25">
      <c r="G117">
        <v>20</v>
      </c>
      <c r="H117" s="438" t="s">
        <v>37</v>
      </c>
      <c r="I117" s="439"/>
      <c r="J117" s="312">
        <v>0.48582802547770704</v>
      </c>
      <c r="K117" s="312">
        <v>9.9663508308474674E-2</v>
      </c>
      <c r="L117" s="312">
        <v>5.8479490445859884E-3</v>
      </c>
      <c r="M117" s="312">
        <v>0.16120068771066925</v>
      </c>
      <c r="AL117">
        <f t="shared" si="32"/>
        <v>20</v>
      </c>
      <c r="AM117" t="str">
        <f t="shared" si="33"/>
        <v>24 Innervegger</v>
      </c>
      <c r="AN117">
        <f t="shared" si="34"/>
        <v>24.291401273885352</v>
      </c>
      <c r="AO117">
        <f t="shared" si="35"/>
        <v>4.9831754154237338</v>
      </c>
      <c r="AP117">
        <f t="shared" si="36"/>
        <v>0.29239745222929941</v>
      </c>
      <c r="AQ117">
        <f t="shared" si="37"/>
        <v>8.0600343855334629</v>
      </c>
    </row>
    <row r="121" spans="6:43" hidden="1" x14ac:dyDescent="0.25">
      <c r="F121" s="229"/>
      <c r="G121">
        <v>4</v>
      </c>
      <c r="H121" s="440" t="s">
        <v>38</v>
      </c>
      <c r="I121" s="441"/>
      <c r="J121" s="312">
        <v>1.316018575741885</v>
      </c>
      <c r="K121" s="312">
        <v>0.11009716717256773</v>
      </c>
      <c r="L121" s="312">
        <v>6.8861534062920088E-2</v>
      </c>
      <c r="M121" s="312">
        <v>0.27849002875159234</v>
      </c>
      <c r="AL121">
        <f t="shared" ref="AL121:AL137" si="38">G121</f>
        <v>4</v>
      </c>
      <c r="AM121" t="str">
        <f t="shared" ref="AM121:AM137" si="39">H121</f>
        <v>25 Dekker</v>
      </c>
      <c r="AN121">
        <f t="shared" ref="AN121:AN137" si="40">J121*$D$60</f>
        <v>65.80092878709425</v>
      </c>
      <c r="AO121">
        <f t="shared" ref="AO121:AO137" si="41">K121*$D$60</f>
        <v>5.504858358628387</v>
      </c>
      <c r="AP121">
        <f t="shared" ref="AP121:AP137" si="42">L121*$D$60</f>
        <v>3.4430767031460046</v>
      </c>
      <c r="AQ121">
        <f t="shared" ref="AQ121:AQ137" si="43">M121*$D$60</f>
        <v>13.924501437579618</v>
      </c>
    </row>
    <row r="122" spans="6:43" hidden="1" x14ac:dyDescent="0.25">
      <c r="F122" s="229"/>
      <c r="G122">
        <v>5</v>
      </c>
      <c r="H122" s="438" t="s">
        <v>38</v>
      </c>
      <c r="I122" s="439"/>
      <c r="J122" s="312">
        <v>1.316018575741885</v>
      </c>
      <c r="K122" s="312">
        <v>0.11009716717256773</v>
      </c>
      <c r="L122" s="312">
        <v>6.8861534062920088E-2</v>
      </c>
      <c r="M122" s="312">
        <v>0.27849002875159234</v>
      </c>
      <c r="AL122">
        <f t="shared" si="38"/>
        <v>5</v>
      </c>
      <c r="AM122" t="str">
        <f t="shared" si="39"/>
        <v>25 Dekker</v>
      </c>
      <c r="AN122">
        <f t="shared" si="40"/>
        <v>65.80092878709425</v>
      </c>
      <c r="AO122">
        <f t="shared" si="41"/>
        <v>5.504858358628387</v>
      </c>
      <c r="AP122">
        <f t="shared" si="42"/>
        <v>3.4430767031460046</v>
      </c>
      <c r="AQ122">
        <f t="shared" si="43"/>
        <v>13.924501437579618</v>
      </c>
    </row>
    <row r="123" spans="6:43" hidden="1" x14ac:dyDescent="0.25">
      <c r="F123" s="229"/>
      <c r="G123">
        <v>6</v>
      </c>
      <c r="H123" s="438" t="s">
        <v>38</v>
      </c>
      <c r="I123" s="439"/>
      <c r="J123" s="312">
        <v>1.316018575741885</v>
      </c>
      <c r="K123" s="312">
        <v>0.11009716717256773</v>
      </c>
      <c r="L123" s="312">
        <v>6.8861534062920088E-2</v>
      </c>
      <c r="M123" s="312">
        <v>0.27849002875159234</v>
      </c>
      <c r="AL123">
        <f t="shared" si="38"/>
        <v>6</v>
      </c>
      <c r="AM123" t="str">
        <f t="shared" si="39"/>
        <v>25 Dekker</v>
      </c>
      <c r="AN123">
        <f t="shared" si="40"/>
        <v>65.80092878709425</v>
      </c>
      <c r="AO123">
        <f t="shared" si="41"/>
        <v>5.504858358628387</v>
      </c>
      <c r="AP123">
        <f t="shared" si="42"/>
        <v>3.4430767031460046</v>
      </c>
      <c r="AQ123">
        <f t="shared" si="43"/>
        <v>13.924501437579618</v>
      </c>
    </row>
    <row r="124" spans="6:43" hidden="1" x14ac:dyDescent="0.25">
      <c r="F124" s="229"/>
      <c r="G124">
        <v>7</v>
      </c>
      <c r="H124" s="438" t="s">
        <v>38</v>
      </c>
      <c r="I124" s="439"/>
      <c r="J124" s="312">
        <v>1.316018575741885</v>
      </c>
      <c r="K124" s="312">
        <v>0.11009716717256773</v>
      </c>
      <c r="L124" s="312">
        <v>6.8861534062920088E-2</v>
      </c>
      <c r="M124" s="312">
        <v>0.27849002875159234</v>
      </c>
      <c r="AL124">
        <f t="shared" si="38"/>
        <v>7</v>
      </c>
      <c r="AM124" t="str">
        <f t="shared" si="39"/>
        <v>25 Dekker</v>
      </c>
      <c r="AN124">
        <f t="shared" si="40"/>
        <v>65.80092878709425</v>
      </c>
      <c r="AO124">
        <f t="shared" si="41"/>
        <v>5.504858358628387</v>
      </c>
      <c r="AP124">
        <f t="shared" si="42"/>
        <v>3.4430767031460046</v>
      </c>
      <c r="AQ124">
        <f t="shared" si="43"/>
        <v>13.924501437579618</v>
      </c>
    </row>
    <row r="125" spans="6:43" hidden="1" x14ac:dyDescent="0.25">
      <c r="F125" s="229"/>
      <c r="G125">
        <v>8</v>
      </c>
      <c r="H125" s="438" t="s">
        <v>38</v>
      </c>
      <c r="I125" s="439"/>
      <c r="J125" s="312">
        <v>1.316018575741885</v>
      </c>
      <c r="K125" s="312">
        <v>0.11009716717256773</v>
      </c>
      <c r="L125" s="312">
        <v>6.8861534062920088E-2</v>
      </c>
      <c r="M125" s="312">
        <v>0.27849002875159234</v>
      </c>
      <c r="AL125">
        <f t="shared" si="38"/>
        <v>8</v>
      </c>
      <c r="AM125" t="str">
        <f t="shared" si="39"/>
        <v>25 Dekker</v>
      </c>
      <c r="AN125">
        <f t="shared" si="40"/>
        <v>65.80092878709425</v>
      </c>
      <c r="AO125">
        <f t="shared" si="41"/>
        <v>5.504858358628387</v>
      </c>
      <c r="AP125">
        <f t="shared" si="42"/>
        <v>3.4430767031460046</v>
      </c>
      <c r="AQ125">
        <f t="shared" si="43"/>
        <v>13.924501437579618</v>
      </c>
    </row>
    <row r="126" spans="6:43" hidden="1" x14ac:dyDescent="0.25">
      <c r="F126" s="228"/>
      <c r="G126">
        <v>9</v>
      </c>
      <c r="H126" s="438" t="s">
        <v>38</v>
      </c>
      <c r="I126" s="439"/>
      <c r="J126" s="312">
        <v>1.316018575741885</v>
      </c>
      <c r="K126" s="312">
        <v>0.11009716717256773</v>
      </c>
      <c r="L126" s="312">
        <v>6.8861534062920088E-2</v>
      </c>
      <c r="M126" s="312">
        <v>0.27849002875159234</v>
      </c>
      <c r="AL126">
        <f t="shared" si="38"/>
        <v>9</v>
      </c>
      <c r="AM126" t="str">
        <f t="shared" si="39"/>
        <v>25 Dekker</v>
      </c>
      <c r="AN126">
        <f t="shared" si="40"/>
        <v>65.80092878709425</v>
      </c>
      <c r="AO126">
        <f t="shared" si="41"/>
        <v>5.504858358628387</v>
      </c>
      <c r="AP126">
        <f t="shared" si="42"/>
        <v>3.4430767031460046</v>
      </c>
      <c r="AQ126">
        <f t="shared" si="43"/>
        <v>13.924501437579618</v>
      </c>
    </row>
    <row r="127" spans="6:43" hidden="1" x14ac:dyDescent="0.25">
      <c r="F127" s="228"/>
      <c r="G127">
        <v>10</v>
      </c>
      <c r="H127" s="438" t="s">
        <v>38</v>
      </c>
      <c r="I127" s="439"/>
      <c r="J127" s="312">
        <v>1.316018575741885</v>
      </c>
      <c r="K127" s="312">
        <v>0.11009716717256773</v>
      </c>
      <c r="L127" s="312">
        <v>6.8861534062920088E-2</v>
      </c>
      <c r="M127" s="312">
        <v>0.27849002875159234</v>
      </c>
      <c r="AL127">
        <f t="shared" si="38"/>
        <v>10</v>
      </c>
      <c r="AM127" t="str">
        <f t="shared" si="39"/>
        <v>25 Dekker</v>
      </c>
      <c r="AN127">
        <f t="shared" si="40"/>
        <v>65.80092878709425</v>
      </c>
      <c r="AO127">
        <f t="shared" si="41"/>
        <v>5.504858358628387</v>
      </c>
      <c r="AP127">
        <f t="shared" si="42"/>
        <v>3.4430767031460046</v>
      </c>
      <c r="AQ127">
        <f t="shared" si="43"/>
        <v>13.924501437579618</v>
      </c>
    </row>
    <row r="128" spans="6:43" hidden="1" x14ac:dyDescent="0.25">
      <c r="F128" s="228"/>
      <c r="G128">
        <v>11</v>
      </c>
      <c r="H128" s="438" t="s">
        <v>38</v>
      </c>
      <c r="I128" s="439"/>
      <c r="J128" s="312">
        <v>1.316018575741885</v>
      </c>
      <c r="K128" s="312">
        <v>0.11009716717256773</v>
      </c>
      <c r="L128" s="312">
        <v>6.8861534062920088E-2</v>
      </c>
      <c r="M128" s="312">
        <v>0.27849002875159234</v>
      </c>
      <c r="AL128">
        <f t="shared" si="38"/>
        <v>11</v>
      </c>
      <c r="AM128" t="str">
        <f t="shared" si="39"/>
        <v>25 Dekker</v>
      </c>
      <c r="AN128">
        <f t="shared" si="40"/>
        <v>65.80092878709425</v>
      </c>
      <c r="AO128">
        <f t="shared" si="41"/>
        <v>5.504858358628387</v>
      </c>
      <c r="AP128">
        <f t="shared" si="42"/>
        <v>3.4430767031460046</v>
      </c>
      <c r="AQ128">
        <f t="shared" si="43"/>
        <v>13.924501437579618</v>
      </c>
    </row>
    <row r="129" spans="6:43" hidden="1" x14ac:dyDescent="0.25">
      <c r="F129" s="228"/>
      <c r="G129">
        <v>12</v>
      </c>
      <c r="H129" s="438" t="s">
        <v>38</v>
      </c>
      <c r="I129" s="439"/>
      <c r="J129" s="312">
        <v>1.316018575741885</v>
      </c>
      <c r="K129" s="312">
        <v>0.11009716717256773</v>
      </c>
      <c r="L129" s="312">
        <v>6.8861534062920088E-2</v>
      </c>
      <c r="M129" s="312">
        <v>0.27849002875159234</v>
      </c>
      <c r="AL129">
        <f t="shared" si="38"/>
        <v>12</v>
      </c>
      <c r="AM129" t="str">
        <f t="shared" si="39"/>
        <v>25 Dekker</v>
      </c>
      <c r="AN129">
        <f t="shared" si="40"/>
        <v>65.80092878709425</v>
      </c>
      <c r="AO129">
        <f t="shared" si="41"/>
        <v>5.504858358628387</v>
      </c>
      <c r="AP129">
        <f t="shared" si="42"/>
        <v>3.4430767031460046</v>
      </c>
      <c r="AQ129">
        <f t="shared" si="43"/>
        <v>13.924501437579618</v>
      </c>
    </row>
    <row r="130" spans="6:43" hidden="1" x14ac:dyDescent="0.25">
      <c r="F130" s="228"/>
      <c r="G130">
        <v>13</v>
      </c>
      <c r="H130" s="438" t="s">
        <v>38</v>
      </c>
      <c r="I130" s="439"/>
      <c r="J130" s="312">
        <v>1.316018575741885</v>
      </c>
      <c r="K130" s="312">
        <v>0.11009716717256773</v>
      </c>
      <c r="L130" s="312">
        <v>6.8861534062920088E-2</v>
      </c>
      <c r="M130" s="312">
        <v>0.27849002875159234</v>
      </c>
      <c r="AL130">
        <f t="shared" si="38"/>
        <v>13</v>
      </c>
      <c r="AM130" t="str">
        <f t="shared" si="39"/>
        <v>25 Dekker</v>
      </c>
      <c r="AN130">
        <f t="shared" si="40"/>
        <v>65.80092878709425</v>
      </c>
      <c r="AO130">
        <f t="shared" si="41"/>
        <v>5.504858358628387</v>
      </c>
      <c r="AP130">
        <f t="shared" si="42"/>
        <v>3.4430767031460046</v>
      </c>
      <c r="AQ130">
        <f t="shared" si="43"/>
        <v>13.924501437579618</v>
      </c>
    </row>
    <row r="131" spans="6:43" hidden="1" x14ac:dyDescent="0.25">
      <c r="F131" s="228"/>
      <c r="G131">
        <v>14</v>
      </c>
      <c r="H131" t="s">
        <v>38</v>
      </c>
      <c r="I131" s="48"/>
      <c r="J131" s="312">
        <v>1.316018575741885</v>
      </c>
      <c r="K131" s="312">
        <v>0.11009716717256773</v>
      </c>
      <c r="L131" s="312">
        <v>6.8861534062920088E-2</v>
      </c>
      <c r="M131" s="312">
        <v>0.27849002875159234</v>
      </c>
      <c r="AL131">
        <f t="shared" si="38"/>
        <v>14</v>
      </c>
      <c r="AM131" t="str">
        <f t="shared" si="39"/>
        <v>25 Dekker</v>
      </c>
      <c r="AN131">
        <f t="shared" si="40"/>
        <v>65.80092878709425</v>
      </c>
      <c r="AO131">
        <f t="shared" si="41"/>
        <v>5.504858358628387</v>
      </c>
      <c r="AP131">
        <f t="shared" si="42"/>
        <v>3.4430767031460046</v>
      </c>
      <c r="AQ131">
        <f t="shared" si="43"/>
        <v>13.924501437579618</v>
      </c>
    </row>
    <row r="132" spans="6:43" hidden="1" x14ac:dyDescent="0.25">
      <c r="F132" s="228"/>
      <c r="G132">
        <v>15</v>
      </c>
      <c r="H132" t="s">
        <v>38</v>
      </c>
      <c r="I132" s="48"/>
      <c r="J132" s="312">
        <v>1.316018575741885</v>
      </c>
      <c r="K132" s="312">
        <v>0.11009716717256773</v>
      </c>
      <c r="L132" s="312">
        <v>6.8861534062920088E-2</v>
      </c>
      <c r="M132" s="312">
        <v>0.27849002875159234</v>
      </c>
      <c r="AL132">
        <f t="shared" si="38"/>
        <v>15</v>
      </c>
      <c r="AM132" t="str">
        <f t="shared" si="39"/>
        <v>25 Dekker</v>
      </c>
      <c r="AN132">
        <f t="shared" si="40"/>
        <v>65.80092878709425</v>
      </c>
      <c r="AO132">
        <f t="shared" si="41"/>
        <v>5.504858358628387</v>
      </c>
      <c r="AP132">
        <f t="shared" si="42"/>
        <v>3.4430767031460046</v>
      </c>
      <c r="AQ132">
        <f t="shared" si="43"/>
        <v>13.924501437579618</v>
      </c>
    </row>
    <row r="133" spans="6:43" hidden="1" x14ac:dyDescent="0.25">
      <c r="F133" s="228"/>
      <c r="G133">
        <v>16</v>
      </c>
      <c r="H133" t="s">
        <v>38</v>
      </c>
      <c r="I133" s="48"/>
      <c r="J133" s="312">
        <v>1.316018575741885</v>
      </c>
      <c r="K133" s="312">
        <v>0.11009716717256773</v>
      </c>
      <c r="L133" s="312">
        <v>6.8861534062920088E-2</v>
      </c>
      <c r="M133" s="312">
        <v>0.27849002875159234</v>
      </c>
      <c r="AL133">
        <f t="shared" si="38"/>
        <v>16</v>
      </c>
      <c r="AM133" t="str">
        <f t="shared" si="39"/>
        <v>25 Dekker</v>
      </c>
      <c r="AN133">
        <f t="shared" si="40"/>
        <v>65.80092878709425</v>
      </c>
      <c r="AO133">
        <f t="shared" si="41"/>
        <v>5.504858358628387</v>
      </c>
      <c r="AP133">
        <f t="shared" si="42"/>
        <v>3.4430767031460046</v>
      </c>
      <c r="AQ133">
        <f t="shared" si="43"/>
        <v>13.924501437579618</v>
      </c>
    </row>
    <row r="134" spans="6:43" hidden="1" x14ac:dyDescent="0.25">
      <c r="F134" s="228"/>
      <c r="G134">
        <v>17</v>
      </c>
      <c r="H134" t="s">
        <v>38</v>
      </c>
      <c r="I134" s="48"/>
      <c r="J134" s="312">
        <v>1.316018575741885</v>
      </c>
      <c r="K134" s="312">
        <v>0.11009716717256773</v>
      </c>
      <c r="L134" s="312">
        <v>6.8861534062920088E-2</v>
      </c>
      <c r="M134" s="312">
        <v>0.27849002875159234</v>
      </c>
      <c r="AL134">
        <f t="shared" si="38"/>
        <v>17</v>
      </c>
      <c r="AM134" t="str">
        <f t="shared" si="39"/>
        <v>25 Dekker</v>
      </c>
      <c r="AN134">
        <f t="shared" si="40"/>
        <v>65.80092878709425</v>
      </c>
      <c r="AO134">
        <f t="shared" si="41"/>
        <v>5.504858358628387</v>
      </c>
      <c r="AP134">
        <f t="shared" si="42"/>
        <v>3.4430767031460046</v>
      </c>
      <c r="AQ134">
        <f t="shared" si="43"/>
        <v>13.924501437579618</v>
      </c>
    </row>
    <row r="135" spans="6:43" hidden="1" x14ac:dyDescent="0.25">
      <c r="F135" s="228"/>
      <c r="G135">
        <v>18</v>
      </c>
      <c r="H135" t="s">
        <v>38</v>
      </c>
      <c r="I135" s="48"/>
      <c r="J135" s="313">
        <v>1.316018575741885</v>
      </c>
      <c r="K135" s="312">
        <v>0.11009716717256773</v>
      </c>
      <c r="L135" s="312">
        <v>6.8861534062920088E-2</v>
      </c>
      <c r="M135" s="312">
        <v>0.27849002875159234</v>
      </c>
      <c r="AL135">
        <f t="shared" si="38"/>
        <v>18</v>
      </c>
      <c r="AM135" t="str">
        <f t="shared" si="39"/>
        <v>25 Dekker</v>
      </c>
      <c r="AN135">
        <f t="shared" si="40"/>
        <v>65.80092878709425</v>
      </c>
      <c r="AO135">
        <f t="shared" si="41"/>
        <v>5.504858358628387</v>
      </c>
      <c r="AP135">
        <f t="shared" si="42"/>
        <v>3.4430767031460046</v>
      </c>
      <c r="AQ135">
        <f t="shared" si="43"/>
        <v>13.924501437579618</v>
      </c>
    </row>
    <row r="136" spans="6:43" hidden="1" x14ac:dyDescent="0.25">
      <c r="F136" s="228"/>
      <c r="G136">
        <v>19</v>
      </c>
      <c r="H136" t="s">
        <v>38</v>
      </c>
      <c r="I136" s="48"/>
      <c r="J136" s="312">
        <v>1.316018575741885</v>
      </c>
      <c r="K136" s="312">
        <v>0.11009716717256773</v>
      </c>
      <c r="L136" s="312">
        <v>6.8861534062920088E-2</v>
      </c>
      <c r="M136" s="312">
        <v>0.27849002875159234</v>
      </c>
      <c r="AL136">
        <f t="shared" si="38"/>
        <v>19</v>
      </c>
      <c r="AM136" t="str">
        <f t="shared" si="39"/>
        <v>25 Dekker</v>
      </c>
      <c r="AN136">
        <f t="shared" si="40"/>
        <v>65.80092878709425</v>
      </c>
      <c r="AO136">
        <f t="shared" si="41"/>
        <v>5.504858358628387</v>
      </c>
      <c r="AP136">
        <f t="shared" si="42"/>
        <v>3.4430767031460046</v>
      </c>
      <c r="AQ136">
        <f t="shared" si="43"/>
        <v>13.924501437579618</v>
      </c>
    </row>
    <row r="137" spans="6:43" hidden="1" x14ac:dyDescent="0.25">
      <c r="F137" s="228"/>
      <c r="G137">
        <v>20</v>
      </c>
      <c r="H137" t="s">
        <v>38</v>
      </c>
      <c r="I137" s="48"/>
      <c r="J137" s="312">
        <v>1.316018575741885</v>
      </c>
      <c r="K137" s="312">
        <v>0.11009716717256773</v>
      </c>
      <c r="L137" s="312">
        <v>6.8861534062920088E-2</v>
      </c>
      <c r="M137" s="312">
        <v>0.27849002875159234</v>
      </c>
      <c r="AL137">
        <f t="shared" si="38"/>
        <v>20</v>
      </c>
      <c r="AM137" t="str">
        <f t="shared" si="39"/>
        <v>25 Dekker</v>
      </c>
      <c r="AN137">
        <f t="shared" si="40"/>
        <v>65.80092878709425</v>
      </c>
      <c r="AO137">
        <f t="shared" si="41"/>
        <v>5.504858358628387</v>
      </c>
      <c r="AP137">
        <f t="shared" si="42"/>
        <v>3.4430767031460046</v>
      </c>
      <c r="AQ137">
        <f t="shared" si="43"/>
        <v>13.924501437579618</v>
      </c>
    </row>
    <row r="141" spans="6:43" hidden="1" x14ac:dyDescent="0.25">
      <c r="G141">
        <v>4</v>
      </c>
      <c r="H141" s="110" t="s">
        <v>39</v>
      </c>
      <c r="I141" s="111"/>
      <c r="J141" s="312">
        <v>1.4756904789265983</v>
      </c>
      <c r="K141" s="312">
        <v>3.9085202841357532E-2</v>
      </c>
      <c r="L141" s="312">
        <v>6.3807488088397799E-2</v>
      </c>
      <c r="M141" s="312">
        <v>0.34921599999999997</v>
      </c>
      <c r="AL141">
        <f t="shared" ref="AL141:AL157" si="44">G141</f>
        <v>4</v>
      </c>
      <c r="AM141" t="str">
        <f t="shared" ref="AM141:AM157" si="45">H141</f>
        <v>26 Yttertak</v>
      </c>
      <c r="AN141">
        <f t="shared" ref="AN141:AN157" si="46">J141*$D$60</f>
        <v>73.784523946329912</v>
      </c>
      <c r="AO141">
        <f t="shared" ref="AO141:AO157" si="47">K141*$D$60</f>
        <v>1.9542601420678767</v>
      </c>
      <c r="AP141">
        <f t="shared" ref="AP141:AP157" si="48">L141*$D$60</f>
        <v>3.1903744044198898</v>
      </c>
      <c r="AQ141">
        <f t="shared" ref="AQ141:AQ157" si="49">M141*$D$60</f>
        <v>17.460799999999999</v>
      </c>
    </row>
    <row r="142" spans="6:43" hidden="1" x14ac:dyDescent="0.25">
      <c r="G142">
        <v>5</v>
      </c>
      <c r="H142" t="s">
        <v>39</v>
      </c>
      <c r="I142" s="48"/>
      <c r="J142" s="312">
        <v>1.4756904789265983</v>
      </c>
      <c r="K142" s="312">
        <v>3.9085202841357532E-2</v>
      </c>
      <c r="L142" s="312">
        <v>6.3807488088397799E-2</v>
      </c>
      <c r="M142" s="312">
        <v>0.34921599999999997</v>
      </c>
      <c r="AL142">
        <f t="shared" si="44"/>
        <v>5</v>
      </c>
      <c r="AM142" t="str">
        <f t="shared" si="45"/>
        <v>26 Yttertak</v>
      </c>
      <c r="AN142">
        <f t="shared" si="46"/>
        <v>73.784523946329912</v>
      </c>
      <c r="AO142">
        <f t="shared" si="47"/>
        <v>1.9542601420678767</v>
      </c>
      <c r="AP142">
        <f t="shared" si="48"/>
        <v>3.1903744044198898</v>
      </c>
      <c r="AQ142">
        <f t="shared" si="49"/>
        <v>17.460799999999999</v>
      </c>
    </row>
    <row r="143" spans="6:43" hidden="1" x14ac:dyDescent="0.25">
      <c r="G143">
        <v>6</v>
      </c>
      <c r="H143" t="s">
        <v>39</v>
      </c>
      <c r="I143" s="48"/>
      <c r="J143" s="312">
        <v>1.4756904789265983</v>
      </c>
      <c r="K143" s="312">
        <v>3.9085202841357532E-2</v>
      </c>
      <c r="L143" s="312">
        <v>6.3807488088397799E-2</v>
      </c>
      <c r="M143" s="312">
        <v>0.34921599999999997</v>
      </c>
      <c r="AL143">
        <f t="shared" si="44"/>
        <v>6</v>
      </c>
      <c r="AM143" t="str">
        <f t="shared" si="45"/>
        <v>26 Yttertak</v>
      </c>
      <c r="AN143">
        <f t="shared" si="46"/>
        <v>73.784523946329912</v>
      </c>
      <c r="AO143">
        <f t="shared" si="47"/>
        <v>1.9542601420678767</v>
      </c>
      <c r="AP143">
        <f t="shared" si="48"/>
        <v>3.1903744044198898</v>
      </c>
      <c r="AQ143">
        <f t="shared" si="49"/>
        <v>17.460799999999999</v>
      </c>
    </row>
    <row r="144" spans="6:43" hidden="1" x14ac:dyDescent="0.25">
      <c r="G144">
        <v>7</v>
      </c>
      <c r="H144" t="s">
        <v>39</v>
      </c>
      <c r="I144" s="48"/>
      <c r="J144" s="312">
        <v>1.4756904789265983</v>
      </c>
      <c r="K144" s="312">
        <v>3.9085202841357532E-2</v>
      </c>
      <c r="L144" s="312">
        <v>6.3807488088397799E-2</v>
      </c>
      <c r="M144" s="312">
        <v>0.34921599999999997</v>
      </c>
      <c r="AL144">
        <f t="shared" si="44"/>
        <v>7</v>
      </c>
      <c r="AM144" t="str">
        <f t="shared" si="45"/>
        <v>26 Yttertak</v>
      </c>
      <c r="AN144">
        <f t="shared" si="46"/>
        <v>73.784523946329912</v>
      </c>
      <c r="AO144">
        <f t="shared" si="47"/>
        <v>1.9542601420678767</v>
      </c>
      <c r="AP144">
        <f t="shared" si="48"/>
        <v>3.1903744044198898</v>
      </c>
      <c r="AQ144">
        <f t="shared" si="49"/>
        <v>17.460799999999999</v>
      </c>
    </row>
    <row r="145" spans="7:43" hidden="1" x14ac:dyDescent="0.25">
      <c r="G145">
        <v>8</v>
      </c>
      <c r="H145" t="s">
        <v>39</v>
      </c>
      <c r="I145" s="48"/>
      <c r="J145" s="312">
        <v>1.4756904789265983</v>
      </c>
      <c r="K145" s="312">
        <v>3.9085202841357532E-2</v>
      </c>
      <c r="L145" s="312">
        <v>6.3807488088397799E-2</v>
      </c>
      <c r="M145" s="312">
        <v>0.34921599999999997</v>
      </c>
      <c r="AL145">
        <f t="shared" si="44"/>
        <v>8</v>
      </c>
      <c r="AM145" t="str">
        <f t="shared" si="45"/>
        <v>26 Yttertak</v>
      </c>
      <c r="AN145">
        <f t="shared" si="46"/>
        <v>73.784523946329912</v>
      </c>
      <c r="AO145">
        <f t="shared" si="47"/>
        <v>1.9542601420678767</v>
      </c>
      <c r="AP145">
        <f t="shared" si="48"/>
        <v>3.1903744044198898</v>
      </c>
      <c r="AQ145">
        <f t="shared" si="49"/>
        <v>17.460799999999999</v>
      </c>
    </row>
    <row r="146" spans="7:43" hidden="1" x14ac:dyDescent="0.25">
      <c r="G146">
        <v>9</v>
      </c>
      <c r="H146" t="s">
        <v>39</v>
      </c>
      <c r="I146" s="48"/>
      <c r="J146" s="312">
        <v>1.4756904789265983</v>
      </c>
      <c r="K146" s="312">
        <v>3.9085202841357532E-2</v>
      </c>
      <c r="L146" s="312">
        <v>6.3807488088397799E-2</v>
      </c>
      <c r="M146" s="312">
        <v>0.34921599999999997</v>
      </c>
      <c r="AL146">
        <f t="shared" si="44"/>
        <v>9</v>
      </c>
      <c r="AM146" t="str">
        <f t="shared" si="45"/>
        <v>26 Yttertak</v>
      </c>
      <c r="AN146">
        <f t="shared" si="46"/>
        <v>73.784523946329912</v>
      </c>
      <c r="AO146">
        <f t="shared" si="47"/>
        <v>1.9542601420678767</v>
      </c>
      <c r="AP146">
        <f t="shared" si="48"/>
        <v>3.1903744044198898</v>
      </c>
      <c r="AQ146">
        <f t="shared" si="49"/>
        <v>17.460799999999999</v>
      </c>
    </row>
    <row r="147" spans="7:43" hidden="1" x14ac:dyDescent="0.25">
      <c r="G147">
        <v>10</v>
      </c>
      <c r="H147" t="s">
        <v>39</v>
      </c>
      <c r="I147" s="48"/>
      <c r="J147" s="312">
        <v>1.4756904789265983</v>
      </c>
      <c r="K147" s="312">
        <v>3.9085202841357532E-2</v>
      </c>
      <c r="L147" s="312">
        <v>6.3807488088397799E-2</v>
      </c>
      <c r="M147" s="312">
        <v>0.34921599999999997</v>
      </c>
      <c r="AL147">
        <f t="shared" si="44"/>
        <v>10</v>
      </c>
      <c r="AM147" t="str">
        <f t="shared" si="45"/>
        <v>26 Yttertak</v>
      </c>
      <c r="AN147">
        <f t="shared" si="46"/>
        <v>73.784523946329912</v>
      </c>
      <c r="AO147">
        <f t="shared" si="47"/>
        <v>1.9542601420678767</v>
      </c>
      <c r="AP147">
        <f t="shared" si="48"/>
        <v>3.1903744044198898</v>
      </c>
      <c r="AQ147">
        <f t="shared" si="49"/>
        <v>17.460799999999999</v>
      </c>
    </row>
    <row r="148" spans="7:43" hidden="1" x14ac:dyDescent="0.25">
      <c r="G148">
        <v>11</v>
      </c>
      <c r="H148" t="s">
        <v>39</v>
      </c>
      <c r="I148" s="48"/>
      <c r="J148" s="312">
        <v>1.4756904789265983</v>
      </c>
      <c r="K148" s="312">
        <v>3.9085202841357532E-2</v>
      </c>
      <c r="L148" s="312">
        <v>6.3807488088397799E-2</v>
      </c>
      <c r="M148" s="312">
        <v>0.34921599999999997</v>
      </c>
      <c r="AL148">
        <f t="shared" si="44"/>
        <v>11</v>
      </c>
      <c r="AM148" t="str">
        <f t="shared" si="45"/>
        <v>26 Yttertak</v>
      </c>
      <c r="AN148">
        <f t="shared" si="46"/>
        <v>73.784523946329912</v>
      </c>
      <c r="AO148">
        <f t="shared" si="47"/>
        <v>1.9542601420678767</v>
      </c>
      <c r="AP148">
        <f t="shared" si="48"/>
        <v>3.1903744044198898</v>
      </c>
      <c r="AQ148">
        <f t="shared" si="49"/>
        <v>17.460799999999999</v>
      </c>
    </row>
    <row r="149" spans="7:43" hidden="1" x14ac:dyDescent="0.25">
      <c r="G149">
        <v>12</v>
      </c>
      <c r="H149" s="438" t="s">
        <v>39</v>
      </c>
      <c r="I149" s="439"/>
      <c r="J149" s="312">
        <v>1.4756904789265983</v>
      </c>
      <c r="K149" s="312">
        <v>3.9085202841357532E-2</v>
      </c>
      <c r="L149" s="312">
        <v>6.3807488088397799E-2</v>
      </c>
      <c r="M149" s="312">
        <v>0.34921599999999997</v>
      </c>
      <c r="AL149">
        <f t="shared" si="44"/>
        <v>12</v>
      </c>
      <c r="AM149" t="str">
        <f t="shared" si="45"/>
        <v>26 Yttertak</v>
      </c>
      <c r="AN149">
        <f t="shared" si="46"/>
        <v>73.784523946329912</v>
      </c>
      <c r="AO149">
        <f t="shared" si="47"/>
        <v>1.9542601420678767</v>
      </c>
      <c r="AP149">
        <f t="shared" si="48"/>
        <v>3.1903744044198898</v>
      </c>
      <c r="AQ149">
        <f t="shared" si="49"/>
        <v>17.460799999999999</v>
      </c>
    </row>
    <row r="150" spans="7:43" hidden="1" x14ac:dyDescent="0.25">
      <c r="G150">
        <v>13</v>
      </c>
      <c r="H150" s="438" t="s">
        <v>39</v>
      </c>
      <c r="I150" s="439"/>
      <c r="J150" s="312">
        <v>1.4756904789265983</v>
      </c>
      <c r="K150" s="312">
        <v>3.9085202841357532E-2</v>
      </c>
      <c r="L150" s="312">
        <v>6.3807488088397799E-2</v>
      </c>
      <c r="M150" s="312">
        <v>0.34921599999999997</v>
      </c>
      <c r="AL150">
        <f t="shared" si="44"/>
        <v>13</v>
      </c>
      <c r="AM150" t="str">
        <f t="shared" si="45"/>
        <v>26 Yttertak</v>
      </c>
      <c r="AN150">
        <f t="shared" si="46"/>
        <v>73.784523946329912</v>
      </c>
      <c r="AO150">
        <f t="shared" si="47"/>
        <v>1.9542601420678767</v>
      </c>
      <c r="AP150">
        <f t="shared" si="48"/>
        <v>3.1903744044198898</v>
      </c>
      <c r="AQ150">
        <f t="shared" si="49"/>
        <v>17.460799999999999</v>
      </c>
    </row>
    <row r="151" spans="7:43" hidden="1" x14ac:dyDescent="0.25">
      <c r="G151">
        <v>14</v>
      </c>
      <c r="H151" s="438" t="s">
        <v>39</v>
      </c>
      <c r="I151" s="439"/>
      <c r="J151" s="312">
        <v>1.4756904789265983</v>
      </c>
      <c r="K151" s="312">
        <v>3.9085202841357532E-2</v>
      </c>
      <c r="L151" s="312">
        <v>6.3807488088397799E-2</v>
      </c>
      <c r="M151" s="312">
        <v>0.34921599999999997</v>
      </c>
      <c r="AL151">
        <f t="shared" si="44"/>
        <v>14</v>
      </c>
      <c r="AM151" t="str">
        <f t="shared" si="45"/>
        <v>26 Yttertak</v>
      </c>
      <c r="AN151">
        <f t="shared" si="46"/>
        <v>73.784523946329912</v>
      </c>
      <c r="AO151">
        <f t="shared" si="47"/>
        <v>1.9542601420678767</v>
      </c>
      <c r="AP151">
        <f t="shared" si="48"/>
        <v>3.1903744044198898</v>
      </c>
      <c r="AQ151">
        <f t="shared" si="49"/>
        <v>17.460799999999999</v>
      </c>
    </row>
    <row r="152" spans="7:43" hidden="1" x14ac:dyDescent="0.25">
      <c r="G152">
        <v>15</v>
      </c>
      <c r="H152" s="438" t="s">
        <v>39</v>
      </c>
      <c r="I152" s="439"/>
      <c r="J152" s="312">
        <v>1.4756904789265983</v>
      </c>
      <c r="K152" s="312">
        <v>3.9085202841357532E-2</v>
      </c>
      <c r="L152" s="312">
        <v>6.3807488088397799E-2</v>
      </c>
      <c r="M152" s="312">
        <v>0.34921599999999997</v>
      </c>
      <c r="AL152">
        <f t="shared" si="44"/>
        <v>15</v>
      </c>
      <c r="AM152" t="str">
        <f t="shared" si="45"/>
        <v>26 Yttertak</v>
      </c>
      <c r="AN152">
        <f t="shared" si="46"/>
        <v>73.784523946329912</v>
      </c>
      <c r="AO152">
        <f t="shared" si="47"/>
        <v>1.9542601420678767</v>
      </c>
      <c r="AP152">
        <f t="shared" si="48"/>
        <v>3.1903744044198898</v>
      </c>
      <c r="AQ152">
        <f t="shared" si="49"/>
        <v>17.460799999999999</v>
      </c>
    </row>
    <row r="153" spans="7:43" hidden="1" x14ac:dyDescent="0.25">
      <c r="G153">
        <v>16</v>
      </c>
      <c r="H153" s="438" t="s">
        <v>39</v>
      </c>
      <c r="I153" s="439"/>
      <c r="J153" s="312">
        <v>1.4756904789265983</v>
      </c>
      <c r="K153" s="312">
        <v>3.9085202841357532E-2</v>
      </c>
      <c r="L153" s="312">
        <v>6.3807488088397799E-2</v>
      </c>
      <c r="M153" s="312">
        <v>0.34921599999999997</v>
      </c>
      <c r="AL153">
        <f t="shared" si="44"/>
        <v>16</v>
      </c>
      <c r="AM153" t="str">
        <f t="shared" si="45"/>
        <v>26 Yttertak</v>
      </c>
      <c r="AN153">
        <f t="shared" si="46"/>
        <v>73.784523946329912</v>
      </c>
      <c r="AO153">
        <f t="shared" si="47"/>
        <v>1.9542601420678767</v>
      </c>
      <c r="AP153">
        <f t="shared" si="48"/>
        <v>3.1903744044198898</v>
      </c>
      <c r="AQ153">
        <f t="shared" si="49"/>
        <v>17.460799999999999</v>
      </c>
    </row>
    <row r="154" spans="7:43" hidden="1" x14ac:dyDescent="0.25">
      <c r="G154">
        <v>17</v>
      </c>
      <c r="H154" s="438" t="s">
        <v>39</v>
      </c>
      <c r="I154" s="439"/>
      <c r="J154" s="312">
        <v>1.4756904789265983</v>
      </c>
      <c r="K154" s="312">
        <v>3.9085202841357532E-2</v>
      </c>
      <c r="L154" s="312">
        <v>6.3807488088397799E-2</v>
      </c>
      <c r="M154" s="312">
        <v>0.34921599999999997</v>
      </c>
      <c r="AL154">
        <f t="shared" si="44"/>
        <v>17</v>
      </c>
      <c r="AM154" t="str">
        <f t="shared" si="45"/>
        <v>26 Yttertak</v>
      </c>
      <c r="AN154">
        <f t="shared" si="46"/>
        <v>73.784523946329912</v>
      </c>
      <c r="AO154">
        <f t="shared" si="47"/>
        <v>1.9542601420678767</v>
      </c>
      <c r="AP154">
        <f t="shared" si="48"/>
        <v>3.1903744044198898</v>
      </c>
      <c r="AQ154">
        <f t="shared" si="49"/>
        <v>17.460799999999999</v>
      </c>
    </row>
    <row r="155" spans="7:43" hidden="1" x14ac:dyDescent="0.25">
      <c r="G155">
        <v>18</v>
      </c>
      <c r="H155" s="438" t="s">
        <v>39</v>
      </c>
      <c r="I155" s="439"/>
      <c r="J155" s="313">
        <v>1.4756904789265983</v>
      </c>
      <c r="K155" s="312">
        <v>3.9085202841357532E-2</v>
      </c>
      <c r="L155" s="312">
        <v>6.3807488088397799E-2</v>
      </c>
      <c r="M155" s="312">
        <v>0.34921599999999997</v>
      </c>
      <c r="AL155">
        <f t="shared" si="44"/>
        <v>18</v>
      </c>
      <c r="AM155" t="str">
        <f t="shared" si="45"/>
        <v>26 Yttertak</v>
      </c>
      <c r="AN155">
        <f t="shared" si="46"/>
        <v>73.784523946329912</v>
      </c>
      <c r="AO155">
        <f t="shared" si="47"/>
        <v>1.9542601420678767</v>
      </c>
      <c r="AP155">
        <f t="shared" si="48"/>
        <v>3.1903744044198898</v>
      </c>
      <c r="AQ155">
        <f t="shared" si="49"/>
        <v>17.460799999999999</v>
      </c>
    </row>
    <row r="156" spans="7:43" hidden="1" x14ac:dyDescent="0.25">
      <c r="G156">
        <v>19</v>
      </c>
      <c r="H156" s="438" t="s">
        <v>39</v>
      </c>
      <c r="I156" s="439"/>
      <c r="J156" s="312">
        <v>1.4756904789265983</v>
      </c>
      <c r="K156" s="312">
        <v>3.9085202841357532E-2</v>
      </c>
      <c r="L156" s="312">
        <v>6.3807488088397799E-2</v>
      </c>
      <c r="M156" s="312">
        <v>0.34921599999999997</v>
      </c>
      <c r="AL156">
        <f t="shared" si="44"/>
        <v>19</v>
      </c>
      <c r="AM156" t="str">
        <f t="shared" si="45"/>
        <v>26 Yttertak</v>
      </c>
      <c r="AN156">
        <f t="shared" si="46"/>
        <v>73.784523946329912</v>
      </c>
      <c r="AO156">
        <f t="shared" si="47"/>
        <v>1.9542601420678767</v>
      </c>
      <c r="AP156">
        <f t="shared" si="48"/>
        <v>3.1903744044198898</v>
      </c>
      <c r="AQ156">
        <f t="shared" si="49"/>
        <v>17.460799999999999</v>
      </c>
    </row>
    <row r="157" spans="7:43" hidden="1" x14ac:dyDescent="0.25">
      <c r="G157">
        <v>20</v>
      </c>
      <c r="H157" s="438" t="s">
        <v>39</v>
      </c>
      <c r="I157" s="439"/>
      <c r="J157" s="312">
        <v>1.4756904789265983</v>
      </c>
      <c r="K157" s="312">
        <v>3.9085202841357532E-2</v>
      </c>
      <c r="L157" s="312">
        <v>6.3807488088397799E-2</v>
      </c>
      <c r="M157" s="312">
        <v>0.34921599999999997</v>
      </c>
      <c r="AL157">
        <f t="shared" si="44"/>
        <v>20</v>
      </c>
      <c r="AM157" t="str">
        <f t="shared" si="45"/>
        <v>26 Yttertak</v>
      </c>
      <c r="AN157">
        <f t="shared" si="46"/>
        <v>73.784523946329912</v>
      </c>
      <c r="AO157">
        <f t="shared" si="47"/>
        <v>1.9542601420678767</v>
      </c>
      <c r="AP157">
        <f t="shared" si="48"/>
        <v>3.1903744044198898</v>
      </c>
      <c r="AQ157">
        <f t="shared" si="49"/>
        <v>17.460799999999999</v>
      </c>
    </row>
    <row r="160" spans="7:43" hidden="1" x14ac:dyDescent="0.25">
      <c r="H160" s="110" t="s">
        <v>489</v>
      </c>
      <c r="I160" s="111"/>
      <c r="J160" s="312">
        <v>0</v>
      </c>
      <c r="K160">
        <v>0</v>
      </c>
      <c r="L160">
        <v>0</v>
      </c>
      <c r="M160">
        <v>0</v>
      </c>
    </row>
    <row r="161" spans="8:13" hidden="1" x14ac:dyDescent="0.25">
      <c r="H161" s="110" t="s">
        <v>489</v>
      </c>
      <c r="I161" s="48"/>
      <c r="J161" s="312">
        <v>0</v>
      </c>
      <c r="K161">
        <v>0</v>
      </c>
      <c r="L161">
        <v>0</v>
      </c>
      <c r="M161">
        <v>0</v>
      </c>
    </row>
    <row r="162" spans="8:13" hidden="1" x14ac:dyDescent="0.25">
      <c r="H162" s="110" t="s">
        <v>489</v>
      </c>
      <c r="I162" s="48"/>
      <c r="J162" s="312">
        <v>0</v>
      </c>
      <c r="K162">
        <v>0</v>
      </c>
      <c r="L162">
        <v>0</v>
      </c>
      <c r="M162">
        <v>0</v>
      </c>
    </row>
    <row r="163" spans="8:13" hidden="1" x14ac:dyDescent="0.25">
      <c r="H163" s="110" t="s">
        <v>489</v>
      </c>
      <c r="I163" s="48"/>
      <c r="J163" s="312">
        <v>0</v>
      </c>
      <c r="K163">
        <v>0</v>
      </c>
      <c r="L163">
        <v>0</v>
      </c>
      <c r="M163">
        <v>0</v>
      </c>
    </row>
    <row r="164" spans="8:13" hidden="1" x14ac:dyDescent="0.25">
      <c r="H164" s="110" t="s">
        <v>489</v>
      </c>
      <c r="I164" s="48"/>
      <c r="J164" s="312">
        <v>0</v>
      </c>
      <c r="K164">
        <v>0</v>
      </c>
      <c r="L164">
        <v>0</v>
      </c>
      <c r="M164">
        <v>0</v>
      </c>
    </row>
    <row r="165" spans="8:13" hidden="1" x14ac:dyDescent="0.25">
      <c r="H165" s="110" t="s">
        <v>489</v>
      </c>
      <c r="I165" s="48"/>
      <c r="J165" s="312">
        <v>0</v>
      </c>
      <c r="K165">
        <v>0</v>
      </c>
      <c r="L165">
        <v>0</v>
      </c>
      <c r="M165">
        <v>0</v>
      </c>
    </row>
    <row r="166" spans="8:13" hidden="1" x14ac:dyDescent="0.25">
      <c r="H166" s="110" t="s">
        <v>489</v>
      </c>
      <c r="I166" s="48"/>
      <c r="J166" s="312">
        <v>0</v>
      </c>
      <c r="K166">
        <v>0</v>
      </c>
      <c r="L166">
        <v>0</v>
      </c>
      <c r="M166">
        <v>0</v>
      </c>
    </row>
    <row r="167" spans="8:13" hidden="1" x14ac:dyDescent="0.25">
      <c r="H167" s="110" t="s">
        <v>489</v>
      </c>
      <c r="I167" s="48"/>
      <c r="J167" s="312">
        <v>0</v>
      </c>
      <c r="K167">
        <v>0</v>
      </c>
      <c r="L167">
        <v>0</v>
      </c>
      <c r="M167">
        <v>0</v>
      </c>
    </row>
    <row r="168" spans="8:13" hidden="1" x14ac:dyDescent="0.25">
      <c r="H168" s="110" t="s">
        <v>489</v>
      </c>
      <c r="I168" s="48"/>
      <c r="J168" s="312">
        <v>0</v>
      </c>
      <c r="K168">
        <v>0</v>
      </c>
      <c r="L168">
        <v>0</v>
      </c>
      <c r="M168">
        <v>0</v>
      </c>
    </row>
    <row r="169" spans="8:13" hidden="1" x14ac:dyDescent="0.25">
      <c r="H169" s="110" t="s">
        <v>489</v>
      </c>
      <c r="I169" s="48"/>
      <c r="J169" s="312">
        <v>0</v>
      </c>
      <c r="K169">
        <v>0</v>
      </c>
      <c r="L169">
        <v>0</v>
      </c>
      <c r="M169">
        <v>0</v>
      </c>
    </row>
    <row r="170" spans="8:13" hidden="1" x14ac:dyDescent="0.25">
      <c r="H170" s="110" t="s">
        <v>489</v>
      </c>
      <c r="I170" s="48"/>
      <c r="J170" s="312">
        <v>0</v>
      </c>
      <c r="K170">
        <v>0</v>
      </c>
      <c r="L170">
        <v>0</v>
      </c>
      <c r="M170">
        <v>0</v>
      </c>
    </row>
    <row r="171" spans="8:13" hidden="1" x14ac:dyDescent="0.25">
      <c r="H171" s="110" t="s">
        <v>489</v>
      </c>
      <c r="I171" s="48"/>
      <c r="J171" s="312">
        <v>0</v>
      </c>
      <c r="K171">
        <v>0</v>
      </c>
      <c r="L171">
        <v>0</v>
      </c>
      <c r="M171">
        <v>0</v>
      </c>
    </row>
    <row r="172" spans="8:13" hidden="1" x14ac:dyDescent="0.25">
      <c r="H172" s="110" t="s">
        <v>489</v>
      </c>
      <c r="I172" s="48"/>
      <c r="J172" s="312">
        <v>0</v>
      </c>
      <c r="K172">
        <v>0</v>
      </c>
      <c r="L172">
        <v>0</v>
      </c>
      <c r="M172">
        <v>0</v>
      </c>
    </row>
    <row r="173" spans="8:13" hidden="1" x14ac:dyDescent="0.25">
      <c r="H173" s="110" t="s">
        <v>489</v>
      </c>
      <c r="I173" s="48"/>
      <c r="J173" s="312">
        <v>0</v>
      </c>
      <c r="K173">
        <v>0</v>
      </c>
      <c r="L173">
        <v>0</v>
      </c>
      <c r="M173">
        <v>0</v>
      </c>
    </row>
    <row r="174" spans="8:13" hidden="1" x14ac:dyDescent="0.25">
      <c r="H174" s="110" t="s">
        <v>489</v>
      </c>
      <c r="I174" s="48"/>
      <c r="J174" s="312">
        <v>0</v>
      </c>
      <c r="K174">
        <v>0</v>
      </c>
      <c r="L174">
        <v>0</v>
      </c>
      <c r="M174">
        <v>0</v>
      </c>
    </row>
    <row r="175" spans="8:13" hidden="1" x14ac:dyDescent="0.25">
      <c r="H175" s="110" t="s">
        <v>489</v>
      </c>
      <c r="I175" s="48"/>
      <c r="J175" s="312">
        <v>0</v>
      </c>
      <c r="K175">
        <v>0</v>
      </c>
      <c r="L175">
        <v>0</v>
      </c>
      <c r="M175">
        <v>0</v>
      </c>
    </row>
    <row r="176" spans="8:13" hidden="1" x14ac:dyDescent="0.25">
      <c r="H176" s="110" t="s">
        <v>489</v>
      </c>
      <c r="I176" s="48"/>
      <c r="J176" s="312">
        <v>0</v>
      </c>
      <c r="K176">
        <v>0</v>
      </c>
      <c r="L176">
        <v>0</v>
      </c>
      <c r="M176">
        <v>0</v>
      </c>
    </row>
    <row r="177" spans="10:15" hidden="1" x14ac:dyDescent="0.25">
      <c r="J177" s="312">
        <v>0</v>
      </c>
    </row>
    <row r="189" spans="10:15" hidden="1" x14ac:dyDescent="0.25">
      <c r="M189" s="112"/>
      <c r="N189" s="112"/>
      <c r="O189" s="112"/>
    </row>
    <row r="196" spans="13:15" hidden="1" x14ac:dyDescent="0.25">
      <c r="M196" s="112"/>
      <c r="N196" s="112"/>
      <c r="O196" s="112"/>
    </row>
  </sheetData>
  <sheetProtection algorithmName="SHA-512" hashValue="CIwkA4CedTveoXGVsl/uL0ABAGarESS6UIyvgyOrv2eE385IRZhSiwFkxMusdeLsA9hMIajZ6a2FtvQiFWJWqA==" saltValue="ltSu0wWADSQ/fIwmif2q/w==" spinCount="100000" sheet="1" objects="1" scenarios="1"/>
  <mergeCells count="75">
    <mergeCell ref="H156:I156"/>
    <mergeCell ref="H157:I157"/>
    <mergeCell ref="AX11:BA11"/>
    <mergeCell ref="H151:I151"/>
    <mergeCell ref="H152:I152"/>
    <mergeCell ref="H153:I153"/>
    <mergeCell ref="H154:I154"/>
    <mergeCell ref="H155:I155"/>
    <mergeCell ref="H128:I128"/>
    <mergeCell ref="H129:I129"/>
    <mergeCell ref="H130:I130"/>
    <mergeCell ref="H149:I149"/>
    <mergeCell ref="H150:I150"/>
    <mergeCell ref="H123:I123"/>
    <mergeCell ref="H124:I124"/>
    <mergeCell ref="H125:I125"/>
    <mergeCell ref="H126:I126"/>
    <mergeCell ref="H127:I127"/>
    <mergeCell ref="H115:I115"/>
    <mergeCell ref="H116:I116"/>
    <mergeCell ref="H117:I117"/>
    <mergeCell ref="H121:I121"/>
    <mergeCell ref="H122:I122"/>
    <mergeCell ref="H110:I110"/>
    <mergeCell ref="H111:I111"/>
    <mergeCell ref="H112:I112"/>
    <mergeCell ref="H113:I113"/>
    <mergeCell ref="H114:I114"/>
    <mergeCell ref="H105:I105"/>
    <mergeCell ref="H106:I106"/>
    <mergeCell ref="H107:I107"/>
    <mergeCell ref="H108:I108"/>
    <mergeCell ref="H109:I109"/>
    <mergeCell ref="H97:I97"/>
    <mergeCell ref="H101:I101"/>
    <mergeCell ref="H102:I102"/>
    <mergeCell ref="H103:I103"/>
    <mergeCell ref="H104:I104"/>
    <mergeCell ref="H92:I92"/>
    <mergeCell ref="H93:I93"/>
    <mergeCell ref="H94:I94"/>
    <mergeCell ref="H95:I95"/>
    <mergeCell ref="H96:I96"/>
    <mergeCell ref="H90:I90"/>
    <mergeCell ref="H91:I91"/>
    <mergeCell ref="AP11:AS11"/>
    <mergeCell ref="AL11:AO11"/>
    <mergeCell ref="AT11:AW11"/>
    <mergeCell ref="H85:I85"/>
    <mergeCell ref="H86:I86"/>
    <mergeCell ref="H87:I87"/>
    <mergeCell ref="H88:I88"/>
    <mergeCell ref="H89:I89"/>
    <mergeCell ref="H61:I61"/>
    <mergeCell ref="H81:I81"/>
    <mergeCell ref="H82:I82"/>
    <mergeCell ref="H83:I83"/>
    <mergeCell ref="H84:I84"/>
    <mergeCell ref="V11:Y11"/>
    <mergeCell ref="B11:E11"/>
    <mergeCell ref="F11:I11"/>
    <mergeCell ref="J11:M11"/>
    <mergeCell ref="N11:Q11"/>
    <mergeCell ref="R11:U11"/>
    <mergeCell ref="BF27:BH27"/>
    <mergeCell ref="BA23:BH23"/>
    <mergeCell ref="BF24:BH24"/>
    <mergeCell ref="BA25:BB25"/>
    <mergeCell ref="BA26:BB26"/>
    <mergeCell ref="BF26:BH26"/>
    <mergeCell ref="Z11:AC11"/>
    <mergeCell ref="AD11:AG11"/>
    <mergeCell ref="AH11:AK11"/>
    <mergeCell ref="AP10:AS10"/>
    <mergeCell ref="BA27:BB27"/>
  </mergeCells>
  <phoneticPr fontId="45"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36582-E5E9-4D12-B20F-DA5D4DB052C2}">
  <dimension ref="A1:M44"/>
  <sheetViews>
    <sheetView workbookViewId="0">
      <selection activeCell="H11" sqref="H11"/>
    </sheetView>
  </sheetViews>
  <sheetFormatPr defaultColWidth="9.140625" defaultRowHeight="15" x14ac:dyDescent="0.25"/>
  <cols>
    <col min="4" max="4" width="24" bestFit="1" customWidth="1"/>
    <col min="5" max="5" width="16.140625" customWidth="1"/>
    <col min="10" max="10" width="37" bestFit="1" customWidth="1"/>
    <col min="11" max="11" width="40.7109375" customWidth="1"/>
    <col min="12" max="13" width="71.140625" bestFit="1" customWidth="1"/>
  </cols>
  <sheetData>
    <row r="1" spans="1:5" x14ac:dyDescent="0.25">
      <c r="A1" t="s">
        <v>46</v>
      </c>
    </row>
    <row r="2" spans="1:5" x14ac:dyDescent="0.25">
      <c r="A2" t="s">
        <v>47</v>
      </c>
    </row>
    <row r="3" spans="1:5" x14ac:dyDescent="0.25">
      <c r="A3" t="s">
        <v>48</v>
      </c>
    </row>
    <row r="4" spans="1:5" x14ac:dyDescent="0.25">
      <c r="A4" t="s">
        <v>49</v>
      </c>
    </row>
    <row r="5" spans="1:5" x14ac:dyDescent="0.25">
      <c r="A5" t="s">
        <v>3</v>
      </c>
    </row>
    <row r="6" spans="1:5" x14ac:dyDescent="0.25">
      <c r="A6" t="s">
        <v>50</v>
      </c>
    </row>
    <row r="7" spans="1:5" x14ac:dyDescent="0.25">
      <c r="A7" t="s">
        <v>51</v>
      </c>
    </row>
    <row r="8" spans="1:5" ht="15.75" thickBot="1" x14ac:dyDescent="0.3">
      <c r="A8" t="s">
        <v>602</v>
      </c>
    </row>
    <row r="9" spans="1:5" ht="15.75" thickBot="1" x14ac:dyDescent="0.3">
      <c r="A9" s="331" t="s">
        <v>603</v>
      </c>
    </row>
    <row r="10" spans="1:5" ht="15.75" thickBot="1" x14ac:dyDescent="0.3">
      <c r="A10" s="331" t="s">
        <v>604</v>
      </c>
    </row>
    <row r="11" spans="1:5" x14ac:dyDescent="0.25">
      <c r="A11" s="331" t="s">
        <v>605</v>
      </c>
    </row>
    <row r="12" spans="1:5" x14ac:dyDescent="0.25">
      <c r="A12" t="s">
        <v>52</v>
      </c>
    </row>
    <row r="14" spans="1:5" x14ac:dyDescent="0.25">
      <c r="E14" s="126">
        <v>0</v>
      </c>
    </row>
    <row r="15" spans="1:5" x14ac:dyDescent="0.25">
      <c r="E15" s="89">
        <v>0.2</v>
      </c>
    </row>
    <row r="16" spans="1:5" x14ac:dyDescent="0.25">
      <c r="E16" s="89">
        <v>0.3</v>
      </c>
    </row>
    <row r="17" spans="5:13" x14ac:dyDescent="0.25">
      <c r="E17" s="89">
        <v>0.4</v>
      </c>
    </row>
    <row r="18" spans="5:13" x14ac:dyDescent="0.25">
      <c r="E18" s="89">
        <v>0.6</v>
      </c>
    </row>
    <row r="19" spans="5:13" x14ac:dyDescent="0.25">
      <c r="E19" s="89"/>
    </row>
    <row r="20" spans="5:13" x14ac:dyDescent="0.25">
      <c r="E20" s="89"/>
    </row>
    <row r="22" spans="5:13" x14ac:dyDescent="0.25">
      <c r="E22" t="s">
        <v>53</v>
      </c>
    </row>
    <row r="23" spans="5:13" x14ac:dyDescent="0.25">
      <c r="E23" t="s">
        <v>44</v>
      </c>
    </row>
    <row r="24" spans="5:13" x14ac:dyDescent="0.25">
      <c r="E24" t="s">
        <v>54</v>
      </c>
    </row>
    <row r="27" spans="5:13" x14ac:dyDescent="0.25">
      <c r="J27" s="89">
        <v>0.2</v>
      </c>
      <c r="K27" s="89">
        <v>0.3</v>
      </c>
      <c r="L27" s="89">
        <v>0.4</v>
      </c>
      <c r="M27" s="89">
        <v>0.6</v>
      </c>
    </row>
    <row r="28" spans="5:13" x14ac:dyDescent="0.25">
      <c r="J28" t="s">
        <v>55</v>
      </c>
      <c r="K28" t="s">
        <v>56</v>
      </c>
      <c r="L28" t="s">
        <v>397</v>
      </c>
      <c r="M28" t="s">
        <v>63</v>
      </c>
    </row>
    <row r="29" spans="5:13" x14ac:dyDescent="0.25">
      <c r="J29" t="s">
        <v>58</v>
      </c>
      <c r="K29" t="s">
        <v>58</v>
      </c>
      <c r="L29" t="s">
        <v>57</v>
      </c>
      <c r="M29" t="s">
        <v>57</v>
      </c>
    </row>
    <row r="30" spans="5:13" x14ac:dyDescent="0.25">
      <c r="J30" t="s">
        <v>61</v>
      </c>
      <c r="K30" t="s">
        <v>57</v>
      </c>
      <c r="L30" t="s">
        <v>59</v>
      </c>
      <c r="M30" t="s">
        <v>60</v>
      </c>
    </row>
    <row r="31" spans="5:13" x14ac:dyDescent="0.25">
      <c r="J31" t="s">
        <v>61</v>
      </c>
      <c r="K31" t="s">
        <v>59</v>
      </c>
      <c r="L31" t="s">
        <v>62</v>
      </c>
      <c r="M31" t="s">
        <v>62</v>
      </c>
    </row>
    <row r="32" spans="5:13" x14ac:dyDescent="0.25">
      <c r="J32" t="s">
        <v>61</v>
      </c>
      <c r="K32" t="s">
        <v>62</v>
      </c>
      <c r="L32" t="s">
        <v>61</v>
      </c>
      <c r="M32" t="s">
        <v>61</v>
      </c>
    </row>
    <row r="34" spans="6:11" ht="17.25" customHeight="1" x14ac:dyDescent="0.25"/>
    <row r="35" spans="6:11" x14ac:dyDescent="0.25">
      <c r="J35" s="89"/>
      <c r="K35" s="88"/>
    </row>
    <row r="36" spans="6:11" x14ac:dyDescent="0.25">
      <c r="J36" s="89"/>
      <c r="K36" s="88"/>
    </row>
    <row r="37" spans="6:11" x14ac:dyDescent="0.25">
      <c r="J37" s="89"/>
      <c r="K37" s="88"/>
    </row>
    <row r="38" spans="6:11" x14ac:dyDescent="0.25">
      <c r="J38" s="89"/>
      <c r="K38" s="88"/>
    </row>
    <row r="43" spans="6:11" x14ac:dyDescent="0.25">
      <c r="G43" s="89"/>
      <c r="H43" s="89"/>
      <c r="I43" s="89"/>
    </row>
    <row r="44" spans="6:11" x14ac:dyDescent="0.25">
      <c r="F44" s="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C3BA5-AD33-49BA-8711-3862542CA02E}">
  <dimension ref="B2:Z46"/>
  <sheetViews>
    <sheetView showGridLines="0" topLeftCell="C1" zoomScaleNormal="100" workbookViewId="0">
      <selection activeCell="G16" sqref="G16"/>
    </sheetView>
  </sheetViews>
  <sheetFormatPr defaultColWidth="9.140625" defaultRowHeight="15" x14ac:dyDescent="0.25"/>
  <cols>
    <col min="2" max="2" width="16.42578125" customWidth="1"/>
    <col min="4" max="4" width="19.42578125" customWidth="1"/>
    <col min="5" max="5" width="16" customWidth="1"/>
    <col min="6" max="6" width="11" customWidth="1"/>
    <col min="7" max="7" width="18.42578125" customWidth="1"/>
    <col min="8" max="8" width="14" customWidth="1"/>
    <col min="10" max="10" width="10.85546875" customWidth="1"/>
    <col min="11" max="11" width="15.5703125" customWidth="1"/>
    <col min="15" max="15" width="18" customWidth="1"/>
  </cols>
  <sheetData>
    <row r="2" spans="2:16" x14ac:dyDescent="0.25">
      <c r="B2" s="1"/>
      <c r="C2" s="1"/>
      <c r="D2" s="1"/>
      <c r="E2" s="1"/>
      <c r="F2" s="1"/>
      <c r="G2" s="1"/>
      <c r="H2" s="1"/>
      <c r="J2" s="1"/>
      <c r="K2" s="1"/>
      <c r="L2" s="1"/>
      <c r="M2" s="1"/>
      <c r="N2" s="1"/>
      <c r="O2" s="1"/>
    </row>
    <row r="3" spans="2:16" x14ac:dyDescent="0.25">
      <c r="B3" s="1"/>
      <c r="C3" s="1"/>
      <c r="D3" s="1"/>
      <c r="E3" s="1"/>
      <c r="F3" s="1"/>
      <c r="G3" s="1"/>
      <c r="H3" s="1"/>
      <c r="J3" s="1"/>
      <c r="K3" s="1"/>
      <c r="L3" s="1"/>
      <c r="M3" s="1"/>
      <c r="N3" s="1"/>
      <c r="O3" s="1"/>
    </row>
    <row r="4" spans="2:16" x14ac:dyDescent="0.25">
      <c r="B4" s="1"/>
      <c r="C4" s="1"/>
      <c r="D4" s="1"/>
      <c r="E4" s="1"/>
      <c r="F4" s="1"/>
      <c r="G4" s="1"/>
      <c r="H4" s="1"/>
      <c r="J4" s="1"/>
      <c r="K4" s="1"/>
      <c r="L4" s="1"/>
      <c r="M4" s="1"/>
      <c r="N4" s="1"/>
      <c r="O4" s="1"/>
    </row>
    <row r="5" spans="2:16" x14ac:dyDescent="0.25">
      <c r="B5" s="1"/>
      <c r="C5" s="1"/>
      <c r="D5" s="1"/>
      <c r="E5" s="1"/>
      <c r="F5" s="1"/>
      <c r="G5" s="1"/>
      <c r="H5" s="1"/>
      <c r="J5" s="1"/>
      <c r="K5" s="1"/>
      <c r="L5" s="1"/>
      <c r="M5" s="1"/>
      <c r="N5" s="1"/>
      <c r="O5" s="1"/>
    </row>
    <row r="6" spans="2:16" x14ac:dyDescent="0.25">
      <c r="B6" s="1"/>
      <c r="C6" s="1"/>
      <c r="D6" s="1"/>
      <c r="E6" s="1"/>
      <c r="F6" s="1"/>
      <c r="G6" s="1"/>
      <c r="H6" s="1"/>
      <c r="J6" s="1"/>
      <c r="K6" s="1"/>
      <c r="L6" s="1"/>
      <c r="M6" s="1"/>
      <c r="N6" s="1"/>
      <c r="O6" s="1"/>
    </row>
    <row r="7" spans="2:16" x14ac:dyDescent="0.25">
      <c r="B7" s="1"/>
      <c r="C7" s="1"/>
      <c r="D7" s="1"/>
      <c r="E7" s="1"/>
      <c r="F7" s="1"/>
      <c r="G7" s="1"/>
      <c r="H7" s="1"/>
      <c r="J7" s="1"/>
      <c r="K7" s="1"/>
      <c r="L7" s="1"/>
      <c r="M7" s="1"/>
      <c r="N7" s="1"/>
      <c r="O7" s="1"/>
    </row>
    <row r="8" spans="2:16" ht="108.75" customHeight="1" x14ac:dyDescent="0.25">
      <c r="B8" s="1"/>
      <c r="C8" s="1"/>
      <c r="D8" s="1"/>
      <c r="E8" s="1"/>
      <c r="F8" s="1"/>
      <c r="G8" s="1"/>
      <c r="H8" s="1"/>
      <c r="J8" s="1"/>
      <c r="K8" s="1"/>
      <c r="L8" s="1"/>
      <c r="M8" s="1"/>
      <c r="N8" s="1"/>
      <c r="O8" s="1"/>
    </row>
    <row r="13" spans="2:16" ht="15.75" thickBot="1" x14ac:dyDescent="0.3"/>
    <row r="14" spans="2:16" ht="26.25" x14ac:dyDescent="0.25">
      <c r="B14" s="194" t="s">
        <v>69</v>
      </c>
      <c r="C14" s="195" t="s">
        <v>571</v>
      </c>
      <c r="D14" s="195" t="s">
        <v>70</v>
      </c>
      <c r="E14" s="195" t="s">
        <v>77</v>
      </c>
      <c r="F14" s="195" t="s">
        <v>572</v>
      </c>
      <c r="G14" s="195" t="s">
        <v>70</v>
      </c>
      <c r="H14" s="196" t="s">
        <v>77</v>
      </c>
      <c r="J14" s="447" t="s">
        <v>78</v>
      </c>
      <c r="K14" s="2" t="s">
        <v>79</v>
      </c>
      <c r="L14" s="2" t="s">
        <v>80</v>
      </c>
      <c r="M14" s="2" t="s">
        <v>81</v>
      </c>
      <c r="N14" s="2" t="s">
        <v>82</v>
      </c>
      <c r="O14" s="443" t="s">
        <v>83</v>
      </c>
    </row>
    <row r="15" spans="2:16" ht="15.75" thickBot="1" x14ac:dyDescent="0.3">
      <c r="B15" s="3" t="s">
        <v>84</v>
      </c>
      <c r="C15" s="4">
        <v>2.68</v>
      </c>
      <c r="D15" s="5" t="s">
        <v>85</v>
      </c>
      <c r="E15" s="6"/>
      <c r="F15" s="4">
        <v>0.93</v>
      </c>
      <c r="G15" s="5" t="s">
        <v>85</v>
      </c>
      <c r="H15" s="7"/>
      <c r="J15" s="448"/>
      <c r="K15" s="8" t="s">
        <v>86</v>
      </c>
      <c r="L15" s="8" t="s">
        <v>87</v>
      </c>
      <c r="M15" s="8" t="s">
        <v>88</v>
      </c>
      <c r="N15" s="8" t="s">
        <v>89</v>
      </c>
      <c r="O15" s="444"/>
    </row>
    <row r="16" spans="2:16" ht="15.75" thickBot="1" x14ac:dyDescent="0.3">
      <c r="B16" s="3" t="s">
        <v>90</v>
      </c>
      <c r="C16" s="4">
        <v>0.5</v>
      </c>
      <c r="D16" s="5" t="s">
        <v>85</v>
      </c>
      <c r="E16" s="6"/>
      <c r="F16" s="4">
        <v>0.34</v>
      </c>
      <c r="G16" s="5" t="s">
        <v>85</v>
      </c>
      <c r="H16" s="7"/>
      <c r="J16" s="9" t="s">
        <v>48</v>
      </c>
      <c r="K16" s="10" t="s">
        <v>91</v>
      </c>
      <c r="L16" s="10">
        <v>3</v>
      </c>
      <c r="M16" s="10">
        <v>900</v>
      </c>
      <c r="N16" s="10">
        <v>986</v>
      </c>
      <c r="O16" s="11">
        <v>0.25</v>
      </c>
      <c r="P16" s="12"/>
    </row>
    <row r="17" spans="2:26" ht="15.75" thickBot="1" x14ac:dyDescent="0.3">
      <c r="B17" s="3" t="s">
        <v>92</v>
      </c>
      <c r="C17" s="4">
        <v>0.46500000000000002</v>
      </c>
      <c r="D17" s="5" t="s">
        <v>93</v>
      </c>
      <c r="E17" s="6"/>
      <c r="F17" s="4">
        <v>0.09</v>
      </c>
      <c r="G17" s="5" t="s">
        <v>93</v>
      </c>
      <c r="H17" s="197"/>
      <c r="J17" s="9" t="s">
        <v>47</v>
      </c>
      <c r="K17" s="10" t="s">
        <v>94</v>
      </c>
      <c r="L17" s="10">
        <v>3</v>
      </c>
      <c r="M17" s="10">
        <v>3600</v>
      </c>
      <c r="N17" s="10">
        <v>3800</v>
      </c>
      <c r="O17" s="11">
        <v>0.25</v>
      </c>
      <c r="P17" s="12"/>
    </row>
    <row r="18" spans="2:26" ht="27" thickBot="1" x14ac:dyDescent="0.3">
      <c r="B18" s="3" t="s">
        <v>95</v>
      </c>
      <c r="C18" s="13">
        <v>270</v>
      </c>
      <c r="D18" s="5" t="s">
        <v>96</v>
      </c>
      <c r="E18" s="6" t="s">
        <v>588</v>
      </c>
      <c r="F18" s="13">
        <v>120</v>
      </c>
      <c r="G18" s="5" t="s">
        <v>96</v>
      </c>
      <c r="H18" s="7"/>
      <c r="J18" s="9" t="s">
        <v>97</v>
      </c>
      <c r="K18" s="10" t="s">
        <v>94</v>
      </c>
      <c r="L18" s="10">
        <v>2</v>
      </c>
      <c r="M18" s="10">
        <v>2400</v>
      </c>
      <c r="N18" s="10">
        <v>2534</v>
      </c>
      <c r="O18" s="11">
        <v>0.25</v>
      </c>
      <c r="P18" s="14"/>
    </row>
    <row r="19" spans="2:26" ht="27" thickBot="1" x14ac:dyDescent="0.3">
      <c r="B19" s="3" t="s">
        <v>98</v>
      </c>
      <c r="C19" s="13">
        <v>300</v>
      </c>
      <c r="D19" s="5" t="s">
        <v>96</v>
      </c>
      <c r="E19" s="6" t="s">
        <v>588</v>
      </c>
      <c r="F19" s="13">
        <v>130</v>
      </c>
      <c r="G19" s="5" t="s">
        <v>96</v>
      </c>
      <c r="H19" s="7"/>
      <c r="J19" s="9" t="s">
        <v>99</v>
      </c>
      <c r="K19" s="10" t="s">
        <v>94</v>
      </c>
      <c r="L19" s="10">
        <v>3</v>
      </c>
      <c r="M19" s="10">
        <v>3600</v>
      </c>
      <c r="N19" s="10">
        <v>3768</v>
      </c>
      <c r="O19" s="11">
        <v>0.25</v>
      </c>
      <c r="P19" s="12"/>
    </row>
    <row r="20" spans="2:26" ht="43.9" customHeight="1" thickBot="1" x14ac:dyDescent="0.3">
      <c r="B20" s="3" t="s">
        <v>109</v>
      </c>
      <c r="C20" s="316" t="s">
        <v>589</v>
      </c>
      <c r="D20" s="5" t="s">
        <v>573</v>
      </c>
      <c r="E20" s="6" t="s">
        <v>588</v>
      </c>
      <c r="F20" s="13"/>
      <c r="G20" s="6" t="s">
        <v>574</v>
      </c>
      <c r="H20" s="7"/>
      <c r="J20" s="9" t="s">
        <v>50</v>
      </c>
      <c r="K20" s="10" t="s">
        <v>94</v>
      </c>
      <c r="L20" s="10">
        <v>2</v>
      </c>
      <c r="M20" s="10">
        <v>2400</v>
      </c>
      <c r="N20" s="10">
        <v>2560</v>
      </c>
      <c r="O20" s="11">
        <v>0.25</v>
      </c>
      <c r="P20" s="12"/>
    </row>
    <row r="21" spans="2:26" ht="15" customHeight="1" thickBot="1" x14ac:dyDescent="0.3">
      <c r="B21" s="3" t="s">
        <v>100</v>
      </c>
      <c r="C21" s="15">
        <v>49</v>
      </c>
      <c r="D21" s="5" t="s">
        <v>101</v>
      </c>
      <c r="E21" s="6" t="s">
        <v>102</v>
      </c>
      <c r="F21" s="328">
        <v>46.5</v>
      </c>
      <c r="G21" s="5" t="s">
        <v>101</v>
      </c>
      <c r="H21" s="16"/>
      <c r="J21" s="9" t="s">
        <v>51</v>
      </c>
      <c r="K21" s="10" t="s">
        <v>104</v>
      </c>
      <c r="L21" s="10">
        <v>2</v>
      </c>
      <c r="M21" s="10">
        <v>160</v>
      </c>
      <c r="N21" s="10">
        <v>191</v>
      </c>
      <c r="O21" s="11">
        <v>0.25</v>
      </c>
      <c r="P21" s="12"/>
    </row>
    <row r="22" spans="2:26" x14ac:dyDescent="0.25">
      <c r="B22" s="3" t="s">
        <v>105</v>
      </c>
      <c r="C22" s="4">
        <v>0.47</v>
      </c>
      <c r="D22" s="5" t="s">
        <v>93</v>
      </c>
      <c r="E22" s="6"/>
      <c r="F22" s="445" t="s">
        <v>103</v>
      </c>
      <c r="G22" s="446"/>
      <c r="H22" s="16"/>
    </row>
    <row r="23" spans="2:26" ht="26.25" x14ac:dyDescent="0.25">
      <c r="B23" s="3" t="s">
        <v>106</v>
      </c>
      <c r="C23" s="4">
        <v>2.9</v>
      </c>
      <c r="D23" s="5" t="s">
        <v>107</v>
      </c>
      <c r="E23" s="6"/>
      <c r="F23" s="4">
        <v>1.03</v>
      </c>
      <c r="G23" s="5" t="s">
        <v>107</v>
      </c>
      <c r="H23" s="7"/>
    </row>
    <row r="24" spans="2:26" ht="26.25" x14ac:dyDescent="0.25">
      <c r="B24" s="3" t="s">
        <v>108</v>
      </c>
      <c r="C24" s="4">
        <v>2.1</v>
      </c>
      <c r="D24" s="5" t="s">
        <v>107</v>
      </c>
      <c r="E24" s="6"/>
      <c r="F24" s="4">
        <v>0.74</v>
      </c>
      <c r="G24" s="5" t="s">
        <v>107</v>
      </c>
      <c r="H24" s="7"/>
      <c r="J24" s="94"/>
      <c r="K24" s="94"/>
      <c r="L24" s="94"/>
      <c r="M24" s="94"/>
      <c r="N24" s="94"/>
      <c r="O24" s="94"/>
      <c r="P24" s="94"/>
      <c r="Q24" s="94"/>
      <c r="R24" s="94"/>
      <c r="S24" s="94"/>
      <c r="T24" s="94"/>
      <c r="U24" s="94"/>
      <c r="V24" s="94"/>
      <c r="W24" s="94"/>
      <c r="X24" s="94"/>
      <c r="Y24" s="94"/>
      <c r="Z24" s="94"/>
    </row>
    <row r="25" spans="2:26" x14ac:dyDescent="0.25">
      <c r="B25" s="3" t="s">
        <v>110</v>
      </c>
      <c r="C25" s="15">
        <v>30</v>
      </c>
      <c r="D25" s="5" t="s">
        <v>111</v>
      </c>
      <c r="E25" s="6"/>
      <c r="F25" s="445" t="s">
        <v>103</v>
      </c>
      <c r="G25" s="446"/>
      <c r="H25" s="16"/>
      <c r="J25" s="94"/>
      <c r="K25" s="94"/>
      <c r="L25" s="94"/>
      <c r="M25" s="94"/>
      <c r="N25" s="94"/>
      <c r="O25" s="94"/>
      <c r="P25" s="94"/>
      <c r="Q25" s="94"/>
      <c r="R25" s="94"/>
      <c r="S25" s="94"/>
      <c r="T25" s="94"/>
      <c r="U25" s="94"/>
      <c r="V25" s="94"/>
      <c r="W25" s="94"/>
      <c r="X25" s="94"/>
      <c r="Y25" s="94"/>
      <c r="Z25" s="94"/>
    </row>
    <row r="26" spans="2:26" ht="14.45" customHeight="1" x14ac:dyDescent="0.25">
      <c r="B26" s="3" t="s">
        <v>359</v>
      </c>
      <c r="C26" s="15">
        <v>16.853333333333332</v>
      </c>
      <c r="D26" s="5" t="s">
        <v>111</v>
      </c>
      <c r="E26" s="6"/>
      <c r="F26" s="328">
        <v>11.2</v>
      </c>
      <c r="G26" s="5" t="s">
        <v>111</v>
      </c>
      <c r="H26" s="16"/>
      <c r="J26" s="94"/>
      <c r="K26" s="94"/>
      <c r="L26" s="94"/>
      <c r="M26" s="94"/>
      <c r="N26" s="94"/>
      <c r="O26" s="94"/>
      <c r="P26" s="94"/>
      <c r="Q26" s="94"/>
      <c r="R26" s="94"/>
      <c r="S26" s="94"/>
      <c r="T26" s="94"/>
      <c r="U26" s="94"/>
      <c r="V26" s="94"/>
      <c r="W26" s="94"/>
      <c r="X26" s="94"/>
      <c r="Y26" s="94"/>
      <c r="Z26" s="94"/>
    </row>
    <row r="27" spans="2:26" ht="26.25" x14ac:dyDescent="0.25">
      <c r="B27" s="3" t="s">
        <v>112</v>
      </c>
      <c r="C27" s="4">
        <v>2.6</v>
      </c>
      <c r="D27" s="5" t="s">
        <v>85</v>
      </c>
      <c r="E27" s="6"/>
      <c r="F27" s="4">
        <v>2.2000000000000002</v>
      </c>
      <c r="G27" s="17" t="s">
        <v>85</v>
      </c>
      <c r="H27" s="7"/>
    </row>
    <row r="28" spans="2:26" ht="26.25" x14ac:dyDescent="0.25">
      <c r="B28" s="3" t="s">
        <v>113</v>
      </c>
      <c r="C28" s="4">
        <v>1.05</v>
      </c>
      <c r="D28" s="5" t="s">
        <v>85</v>
      </c>
      <c r="E28" s="6"/>
      <c r="F28" s="4">
        <v>1</v>
      </c>
      <c r="G28" s="17" t="s">
        <v>85</v>
      </c>
      <c r="H28" s="7"/>
    </row>
    <row r="29" spans="2:26" x14ac:dyDescent="0.25">
      <c r="B29" s="3" t="s">
        <v>115</v>
      </c>
      <c r="C29" s="4">
        <v>2.8888906250000002</v>
      </c>
      <c r="D29" s="5" t="s">
        <v>111</v>
      </c>
      <c r="E29" s="5"/>
      <c r="F29" s="445" t="s">
        <v>103</v>
      </c>
      <c r="G29" s="446"/>
      <c r="H29" s="16"/>
    </row>
    <row r="30" spans="2:26" ht="26.25" x14ac:dyDescent="0.25">
      <c r="B30" s="3" t="s">
        <v>116</v>
      </c>
      <c r="C30" s="15">
        <v>35.027777777777786</v>
      </c>
      <c r="D30" s="5" t="s">
        <v>96</v>
      </c>
      <c r="E30" s="6" t="s">
        <v>117</v>
      </c>
      <c r="F30" s="15">
        <v>12.9</v>
      </c>
      <c r="G30" s="17" t="s">
        <v>96</v>
      </c>
      <c r="H30" s="7"/>
    </row>
    <row r="31" spans="2:26" ht="26.25" customHeight="1" x14ac:dyDescent="0.25">
      <c r="B31" s="3" t="s">
        <v>118</v>
      </c>
      <c r="C31" s="13">
        <v>100</v>
      </c>
      <c r="D31" s="5" t="s">
        <v>96</v>
      </c>
      <c r="E31" s="6" t="s">
        <v>119</v>
      </c>
      <c r="F31" s="15">
        <v>100</v>
      </c>
      <c r="G31" s="17" t="s">
        <v>96</v>
      </c>
      <c r="H31" s="7"/>
    </row>
    <row r="32" spans="2:26" ht="26.25" x14ac:dyDescent="0.25">
      <c r="B32" s="3" t="s">
        <v>120</v>
      </c>
      <c r="C32" s="15">
        <v>50</v>
      </c>
      <c r="D32" s="5" t="s">
        <v>96</v>
      </c>
      <c r="E32" s="6" t="s">
        <v>121</v>
      </c>
      <c r="F32" s="15">
        <v>33</v>
      </c>
      <c r="G32" s="5" t="s">
        <v>96</v>
      </c>
      <c r="H32" s="7"/>
    </row>
    <row r="33" spans="2:8" x14ac:dyDescent="0.25">
      <c r="B33" s="3" t="s">
        <v>122</v>
      </c>
      <c r="C33" s="15">
        <v>17.335253077975377</v>
      </c>
      <c r="D33" s="5" t="s">
        <v>111</v>
      </c>
      <c r="E33" s="5"/>
      <c r="F33" s="445" t="s">
        <v>103</v>
      </c>
      <c r="G33" s="446"/>
      <c r="H33" s="16"/>
    </row>
    <row r="34" spans="2:8" x14ac:dyDescent="0.25">
      <c r="B34" s="3" t="s">
        <v>575</v>
      </c>
      <c r="C34" s="4">
        <v>5.04</v>
      </c>
      <c r="D34" s="5" t="s">
        <v>111</v>
      </c>
      <c r="E34" s="6"/>
      <c r="F34" s="445" t="s">
        <v>103</v>
      </c>
      <c r="G34" s="446"/>
      <c r="H34" s="16"/>
    </row>
    <row r="35" spans="2:8" ht="14.45" customHeight="1" x14ac:dyDescent="0.25">
      <c r="B35" s="3" t="s">
        <v>123</v>
      </c>
      <c r="C35" s="4">
        <v>9.1778703703703712</v>
      </c>
      <c r="D35" s="5" t="s">
        <v>111</v>
      </c>
      <c r="E35" s="6"/>
      <c r="F35" s="328">
        <v>2.9</v>
      </c>
      <c r="G35" s="5" t="s">
        <v>111</v>
      </c>
      <c r="H35" s="16"/>
    </row>
    <row r="36" spans="2:8" x14ac:dyDescent="0.25">
      <c r="B36" s="3" t="s">
        <v>124</v>
      </c>
      <c r="C36" s="4">
        <v>3.13</v>
      </c>
      <c r="D36" s="5" t="s">
        <v>576</v>
      </c>
      <c r="E36" s="6"/>
      <c r="F36" s="445" t="s">
        <v>103</v>
      </c>
      <c r="G36" s="446"/>
      <c r="H36" s="16"/>
    </row>
    <row r="37" spans="2:8" ht="14.45" customHeight="1" x14ac:dyDescent="0.25">
      <c r="B37" s="3" t="s">
        <v>577</v>
      </c>
      <c r="C37" s="4">
        <v>4.3119914105203376</v>
      </c>
      <c r="D37" s="5" t="s">
        <v>101</v>
      </c>
      <c r="E37" s="6"/>
      <c r="F37" s="325" t="s">
        <v>103</v>
      </c>
      <c r="G37" s="326"/>
      <c r="H37" s="16"/>
    </row>
    <row r="38" spans="2:8" ht="14.45" customHeight="1" x14ac:dyDescent="0.25">
      <c r="B38" s="3" t="s">
        <v>125</v>
      </c>
      <c r="C38" s="15">
        <v>11.106173913043479</v>
      </c>
      <c r="D38" s="5" t="s">
        <v>111</v>
      </c>
      <c r="E38" s="5"/>
      <c r="F38" s="328">
        <v>10.199999999999999</v>
      </c>
      <c r="G38" s="5" t="s">
        <v>111</v>
      </c>
      <c r="H38" s="16"/>
    </row>
    <row r="39" spans="2:8" ht="14.45" customHeight="1" x14ac:dyDescent="0.25">
      <c r="B39" s="3" t="s">
        <v>126</v>
      </c>
      <c r="C39" s="15">
        <v>31.082845417236665</v>
      </c>
      <c r="D39" s="5" t="s">
        <v>111</v>
      </c>
      <c r="E39" s="5"/>
      <c r="F39" s="327">
        <v>28</v>
      </c>
      <c r="G39" s="5" t="s">
        <v>111</v>
      </c>
      <c r="H39" s="16"/>
    </row>
    <row r="40" spans="2:8" x14ac:dyDescent="0.25">
      <c r="B40" s="3" t="s">
        <v>127</v>
      </c>
      <c r="C40" s="4">
        <v>9.08</v>
      </c>
      <c r="D40" s="5" t="s">
        <v>111</v>
      </c>
      <c r="E40" s="6"/>
      <c r="F40" s="4">
        <v>7</v>
      </c>
      <c r="G40" s="5" t="s">
        <v>111</v>
      </c>
      <c r="H40" s="16"/>
    </row>
    <row r="41" spans="2:8" ht="26.25" x14ac:dyDescent="0.25">
      <c r="B41" s="3" t="s">
        <v>128</v>
      </c>
      <c r="C41" s="4">
        <v>1.7630000000000001</v>
      </c>
      <c r="D41" s="5" t="s">
        <v>111</v>
      </c>
      <c r="E41" s="6"/>
      <c r="F41" s="445" t="s">
        <v>103</v>
      </c>
      <c r="G41" s="446"/>
      <c r="H41" s="16"/>
    </row>
    <row r="42" spans="2:8" ht="14.45" customHeight="1" x14ac:dyDescent="0.25">
      <c r="B42" s="3" t="s">
        <v>129</v>
      </c>
      <c r="C42" s="4">
        <v>1.7052611940298508</v>
      </c>
      <c r="D42" s="5" t="s">
        <v>107</v>
      </c>
      <c r="E42" s="6"/>
      <c r="F42" s="328">
        <v>1.6</v>
      </c>
      <c r="G42" s="5" t="s">
        <v>107</v>
      </c>
      <c r="H42" s="18"/>
    </row>
    <row r="43" spans="2:8" ht="26.25" x14ac:dyDescent="0.25">
      <c r="B43" s="3" t="s">
        <v>130</v>
      </c>
      <c r="C43" s="4">
        <v>0.33</v>
      </c>
      <c r="D43" s="5" t="s">
        <v>111</v>
      </c>
      <c r="E43" s="6"/>
      <c r="F43" s="445" t="s">
        <v>103</v>
      </c>
      <c r="G43" s="446"/>
      <c r="H43" s="16"/>
    </row>
    <row r="44" spans="2:8" ht="26.25" x14ac:dyDescent="0.25">
      <c r="B44" s="3" t="s">
        <v>578</v>
      </c>
      <c r="C44" s="4">
        <v>5.418026315789473</v>
      </c>
      <c r="D44" s="5" t="s">
        <v>111</v>
      </c>
      <c r="E44" s="6" t="s">
        <v>131</v>
      </c>
      <c r="F44" s="4">
        <v>1.4</v>
      </c>
      <c r="G44" s="5" t="s">
        <v>111</v>
      </c>
      <c r="H44" s="16"/>
    </row>
    <row r="45" spans="2:8" ht="26.25" x14ac:dyDescent="0.25">
      <c r="B45" s="3" t="s">
        <v>579</v>
      </c>
      <c r="C45" s="317" t="s">
        <v>580</v>
      </c>
      <c r="D45" s="5" t="s">
        <v>581</v>
      </c>
      <c r="E45" s="6"/>
      <c r="F45" s="445" t="s">
        <v>103</v>
      </c>
      <c r="G45" s="446"/>
      <c r="H45" s="16"/>
    </row>
    <row r="46" spans="2:8" ht="15.75" thickBot="1" x14ac:dyDescent="0.3">
      <c r="B46" s="19" t="s">
        <v>132</v>
      </c>
      <c r="C46" s="20">
        <v>6.7532500000000004</v>
      </c>
      <c r="D46" s="21" t="s">
        <v>111</v>
      </c>
      <c r="E46" s="21"/>
      <c r="F46" s="20">
        <v>6.1</v>
      </c>
      <c r="G46" s="21" t="s">
        <v>111</v>
      </c>
      <c r="H46" s="22"/>
    </row>
  </sheetData>
  <sheetProtection algorithmName="SHA-512" hashValue="g1Q4FRj6yORZqCbpGhB0deCjxqKagm1Lh7sVzU7ZSlfGe8C0S4K/bVUpxO7cWY92qtnq79+xOi68emrKq3JG2w==" saltValue="rsJ9F7wqUqJ8uJVEOxIf/A==" spinCount="100000" sheet="1" objects="1" scenarios="1"/>
  <mergeCells count="11">
    <mergeCell ref="F43:G43"/>
    <mergeCell ref="F45:G45"/>
    <mergeCell ref="J14:J15"/>
    <mergeCell ref="F41:G41"/>
    <mergeCell ref="O14:O15"/>
    <mergeCell ref="F25:G25"/>
    <mergeCell ref="F29:G29"/>
    <mergeCell ref="F36:G36"/>
    <mergeCell ref="F22:G22"/>
    <mergeCell ref="F33:G33"/>
    <mergeCell ref="F34:G3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E4133-0414-46D7-9FC4-2D84D1D6F5D8}">
  <dimension ref="A10:BP64"/>
  <sheetViews>
    <sheetView showGridLines="0" zoomScaleNormal="100" workbookViewId="0">
      <pane ySplit="12" topLeftCell="A13" activePane="bottomLeft" state="frozen"/>
      <selection pane="bottomLeft" activeCell="A13" sqref="A13:A16"/>
    </sheetView>
  </sheetViews>
  <sheetFormatPr defaultColWidth="9.140625" defaultRowHeight="15" x14ac:dyDescent="0.25"/>
  <cols>
    <col min="2" max="2" width="12.140625" customWidth="1"/>
    <col min="3" max="3" width="18.140625" customWidth="1"/>
    <col min="4" max="4" width="15.85546875" customWidth="1"/>
    <col min="5" max="5" width="11.42578125" customWidth="1"/>
    <col min="8" max="8" width="11.140625" customWidth="1"/>
    <col min="9" max="9" width="19.5703125" customWidth="1"/>
    <col min="10" max="10" width="13.85546875" customWidth="1"/>
    <col min="11" max="11" width="11.5703125" customWidth="1"/>
    <col min="14" max="14" width="11.5703125" customWidth="1"/>
    <col min="15" max="15" width="16.28515625" customWidth="1"/>
    <col min="16" max="16" width="13.5703125" customWidth="1"/>
    <col min="17" max="17" width="11.42578125" customWidth="1"/>
    <col min="20" max="20" width="12.42578125" customWidth="1"/>
    <col min="21" max="21" width="17" customWidth="1"/>
    <col min="22" max="22" width="14.28515625" customWidth="1"/>
    <col min="23" max="23" width="11.140625" customWidth="1"/>
    <col min="26" max="26" width="14" customWidth="1"/>
    <col min="27" max="27" width="16.5703125" customWidth="1"/>
    <col min="28" max="28" width="12.140625" customWidth="1"/>
    <col min="29" max="29" width="11.42578125" customWidth="1"/>
    <col min="32" max="32" width="12.5703125" customWidth="1"/>
    <col min="33" max="33" width="16.85546875" customWidth="1"/>
    <col min="34" max="34" width="13.5703125" customWidth="1"/>
    <col min="35" max="35" width="11.5703125" customWidth="1"/>
    <col min="39" max="39" width="17" customWidth="1"/>
    <col min="40" max="40" width="28.28515625" customWidth="1"/>
    <col min="41" max="41" width="31.5703125" customWidth="1"/>
    <col min="42" max="42" width="11.140625" customWidth="1"/>
    <col min="45" max="45" width="17.5703125" customWidth="1"/>
    <col min="46" max="46" width="20.85546875" customWidth="1"/>
    <col min="47" max="47" width="18.42578125" customWidth="1"/>
    <col min="48" max="48" width="50" customWidth="1"/>
  </cols>
  <sheetData>
    <row r="10" spans="1:68" ht="15.75" thickBot="1" x14ac:dyDescent="0.3"/>
    <row r="11" spans="1:68" s="88" customFormat="1" ht="15.75" thickBot="1" x14ac:dyDescent="0.3">
      <c r="A11" s="459" t="s">
        <v>133</v>
      </c>
      <c r="B11" s="460"/>
      <c r="C11" s="463" t="s">
        <v>134</v>
      </c>
      <c r="D11" s="464"/>
      <c r="E11" s="466" t="s">
        <v>135</v>
      </c>
      <c r="G11" s="459" t="s">
        <v>48</v>
      </c>
      <c r="H11" s="460"/>
      <c r="I11" s="463" t="s">
        <v>136</v>
      </c>
      <c r="J11" s="464"/>
      <c r="K11" s="466" t="s">
        <v>135</v>
      </c>
      <c r="M11" s="459" t="s">
        <v>137</v>
      </c>
      <c r="N11" s="460"/>
      <c r="O11" s="463" t="s">
        <v>136</v>
      </c>
      <c r="P11" s="464"/>
      <c r="Q11" s="466" t="s">
        <v>135</v>
      </c>
      <c r="S11" s="459" t="s">
        <v>138</v>
      </c>
      <c r="T11" s="460"/>
      <c r="U11" s="463" t="s">
        <v>136</v>
      </c>
      <c r="V11" s="464"/>
      <c r="W11" s="466" t="s">
        <v>135</v>
      </c>
      <c r="Y11" s="459" t="s">
        <v>51</v>
      </c>
      <c r="Z11" s="460"/>
      <c r="AA11" s="463" t="s">
        <v>136</v>
      </c>
      <c r="AB11" s="464"/>
      <c r="AC11" s="466" t="s">
        <v>135</v>
      </c>
      <c r="AE11" s="459" t="s">
        <v>50</v>
      </c>
      <c r="AF11" s="460"/>
      <c r="AG11" s="463" t="s">
        <v>136</v>
      </c>
      <c r="AH11" s="464"/>
      <c r="AI11" s="466" t="s">
        <v>135</v>
      </c>
      <c r="AK11" s="459" t="s">
        <v>139</v>
      </c>
      <c r="AL11" s="460"/>
      <c r="AM11" s="463" t="s">
        <v>136</v>
      </c>
      <c r="AN11" s="464"/>
      <c r="AO11" s="319"/>
      <c r="AP11" s="466" t="s">
        <v>135</v>
      </c>
      <c r="AR11" s="459" t="s">
        <v>491</v>
      </c>
      <c r="AS11" s="460"/>
      <c r="AT11" s="463" t="s">
        <v>136</v>
      </c>
      <c r="AU11" s="464"/>
      <c r="AV11" s="466" t="s">
        <v>135</v>
      </c>
      <c r="AX11" s="459" t="s">
        <v>602</v>
      </c>
      <c r="AY11" s="460"/>
      <c r="BH11" s="459" t="s">
        <v>611</v>
      </c>
      <c r="BI11" s="460"/>
    </row>
    <row r="12" spans="1:68" s="88" customFormat="1" ht="24.75" thickBot="1" x14ac:dyDescent="0.3">
      <c r="A12" s="461"/>
      <c r="B12" s="462"/>
      <c r="C12" s="320" t="s">
        <v>140</v>
      </c>
      <c r="D12" s="320" t="s">
        <v>141</v>
      </c>
      <c r="E12" s="467"/>
      <c r="G12" s="461"/>
      <c r="H12" s="462"/>
      <c r="I12" s="320" t="s">
        <v>140</v>
      </c>
      <c r="J12" s="320" t="s">
        <v>141</v>
      </c>
      <c r="K12" s="467"/>
      <c r="M12" s="461"/>
      <c r="N12" s="462"/>
      <c r="O12" s="320" t="s">
        <v>140</v>
      </c>
      <c r="P12" s="320" t="s">
        <v>141</v>
      </c>
      <c r="Q12" s="467"/>
      <c r="S12" s="461"/>
      <c r="T12" s="462"/>
      <c r="U12" s="320" t="s">
        <v>140</v>
      </c>
      <c r="V12" s="320" t="s">
        <v>141</v>
      </c>
      <c r="W12" s="467"/>
      <c r="Y12" s="461"/>
      <c r="Z12" s="462"/>
      <c r="AA12" s="320" t="s">
        <v>140</v>
      </c>
      <c r="AB12" s="320" t="s">
        <v>141</v>
      </c>
      <c r="AC12" s="467"/>
      <c r="AE12" s="461"/>
      <c r="AF12" s="462"/>
      <c r="AG12" s="320" t="s">
        <v>140</v>
      </c>
      <c r="AH12" s="320" t="s">
        <v>141</v>
      </c>
      <c r="AI12" s="467"/>
      <c r="AK12" s="461"/>
      <c r="AL12" s="462"/>
      <c r="AM12" s="320" t="s">
        <v>140</v>
      </c>
      <c r="AN12" s="320" t="s">
        <v>142</v>
      </c>
      <c r="AO12" s="320" t="s">
        <v>143</v>
      </c>
      <c r="AP12" s="467"/>
      <c r="AR12" s="461"/>
      <c r="AS12" s="462"/>
      <c r="AT12" s="320" t="s">
        <v>140</v>
      </c>
      <c r="AU12" s="320" t="s">
        <v>141</v>
      </c>
      <c r="AV12" s="467"/>
      <c r="AX12" s="537"/>
      <c r="AY12" s="538"/>
      <c r="BH12" s="537"/>
      <c r="BI12" s="538"/>
    </row>
    <row r="13" spans="1:68" s="88" customFormat="1" ht="24.75" thickBot="1" x14ac:dyDescent="0.3">
      <c r="A13" s="465" t="s">
        <v>144</v>
      </c>
      <c r="B13" s="465" t="s">
        <v>145</v>
      </c>
      <c r="C13" s="23" t="s">
        <v>146</v>
      </c>
      <c r="D13" s="24" t="s">
        <v>147</v>
      </c>
      <c r="E13" s="449" t="s">
        <v>148</v>
      </c>
      <c r="G13" s="465" t="s">
        <v>144</v>
      </c>
      <c r="H13" s="465" t="s">
        <v>145</v>
      </c>
      <c r="I13" s="23" t="s">
        <v>146</v>
      </c>
      <c r="J13" s="24" t="s">
        <v>149</v>
      </c>
      <c r="K13" s="449" t="s">
        <v>150</v>
      </c>
      <c r="M13" s="465" t="s">
        <v>144</v>
      </c>
      <c r="N13" s="465" t="s">
        <v>145</v>
      </c>
      <c r="O13" s="23" t="s">
        <v>146</v>
      </c>
      <c r="P13" s="25" t="s">
        <v>151</v>
      </c>
      <c r="Q13" s="449" t="s">
        <v>152</v>
      </c>
      <c r="S13" s="465" t="s">
        <v>144</v>
      </c>
      <c r="T13" s="465" t="s">
        <v>145</v>
      </c>
      <c r="U13" s="23" t="s">
        <v>146</v>
      </c>
      <c r="V13" s="26" t="s">
        <v>153</v>
      </c>
      <c r="W13" s="449" t="s">
        <v>148</v>
      </c>
      <c r="Y13" s="465" t="s">
        <v>144</v>
      </c>
      <c r="Z13" s="465" t="s">
        <v>145</v>
      </c>
      <c r="AA13" s="27" t="s">
        <v>146</v>
      </c>
      <c r="AB13" s="28">
        <v>0</v>
      </c>
      <c r="AC13" s="449"/>
      <c r="AE13" s="465" t="s">
        <v>144</v>
      </c>
      <c r="AF13" s="465" t="s">
        <v>145</v>
      </c>
      <c r="AG13" s="23" t="s">
        <v>146</v>
      </c>
      <c r="AH13" s="29" t="s">
        <v>154</v>
      </c>
      <c r="AI13" s="449" t="s">
        <v>155</v>
      </c>
      <c r="AK13" s="465" t="s">
        <v>144</v>
      </c>
      <c r="AL13" s="465" t="s">
        <v>145</v>
      </c>
      <c r="AM13" s="23" t="s">
        <v>146</v>
      </c>
      <c r="AN13" s="29" t="s">
        <v>156</v>
      </c>
      <c r="AO13" s="29" t="s">
        <v>156</v>
      </c>
      <c r="AP13" s="449" t="s">
        <v>157</v>
      </c>
      <c r="AR13" s="465" t="s">
        <v>144</v>
      </c>
      <c r="AS13" s="465" t="s">
        <v>145</v>
      </c>
      <c r="AT13" s="449" t="s">
        <v>146</v>
      </c>
      <c r="AU13" s="470">
        <v>1</v>
      </c>
      <c r="AV13" s="32" t="s">
        <v>150</v>
      </c>
      <c r="AX13" s="513" t="s">
        <v>610</v>
      </c>
      <c r="AY13" s="514"/>
      <c r="AZ13" s="514"/>
      <c r="BA13" s="514"/>
      <c r="BB13" s="514"/>
      <c r="BC13" s="514"/>
      <c r="BD13" s="514"/>
      <c r="BE13" s="514"/>
      <c r="BF13" s="515"/>
      <c r="BH13" s="513" t="s">
        <v>612</v>
      </c>
      <c r="BI13" s="514"/>
      <c r="BJ13" s="514"/>
      <c r="BK13" s="514"/>
      <c r="BL13" s="514"/>
      <c r="BM13" s="514"/>
      <c r="BN13" s="514"/>
      <c r="BO13" s="514"/>
      <c r="BP13" s="515"/>
    </row>
    <row r="14" spans="1:68" s="88" customFormat="1" ht="15.75" thickBot="1" x14ac:dyDescent="0.3">
      <c r="A14" s="450"/>
      <c r="B14" s="451"/>
      <c r="C14" s="23" t="s">
        <v>158</v>
      </c>
      <c r="D14" s="24" t="s">
        <v>159</v>
      </c>
      <c r="E14" s="450"/>
      <c r="G14" s="450"/>
      <c r="H14" s="451"/>
      <c r="I14" s="23" t="s">
        <v>158</v>
      </c>
      <c r="J14" s="28">
        <v>0</v>
      </c>
      <c r="K14" s="450"/>
      <c r="M14" s="450"/>
      <c r="N14" s="451"/>
      <c r="O14" s="23" t="s">
        <v>158</v>
      </c>
      <c r="P14" s="25" t="s">
        <v>160</v>
      </c>
      <c r="Q14" s="450"/>
      <c r="S14" s="450"/>
      <c r="T14" s="451"/>
      <c r="U14" s="23" t="s">
        <v>158</v>
      </c>
      <c r="V14" s="26" t="s">
        <v>161</v>
      </c>
      <c r="W14" s="450"/>
      <c r="Y14" s="450"/>
      <c r="Z14" s="450"/>
      <c r="AA14" s="27" t="s">
        <v>158</v>
      </c>
      <c r="AB14" s="28">
        <v>0</v>
      </c>
      <c r="AC14" s="450"/>
      <c r="AE14" s="450"/>
      <c r="AF14" s="451"/>
      <c r="AG14" s="23" t="s">
        <v>158</v>
      </c>
      <c r="AH14" s="28">
        <v>0</v>
      </c>
      <c r="AI14" s="450"/>
      <c r="AK14" s="450"/>
      <c r="AL14" s="451"/>
      <c r="AM14" s="23" t="s">
        <v>158</v>
      </c>
      <c r="AN14" s="24">
        <v>0</v>
      </c>
      <c r="AO14" s="24">
        <v>0</v>
      </c>
      <c r="AP14" s="450"/>
      <c r="AR14" s="450"/>
      <c r="AS14" s="450"/>
      <c r="AT14" s="450"/>
      <c r="AU14" s="471"/>
      <c r="AV14" s="146"/>
      <c r="AX14" s="516"/>
      <c r="AY14" s="539"/>
      <c r="AZ14" s="539"/>
      <c r="BA14" s="539"/>
      <c r="BB14" s="539"/>
      <c r="BC14" s="539"/>
      <c r="BD14" s="539"/>
      <c r="BE14" s="539"/>
      <c r="BF14" s="518"/>
      <c r="BH14" s="516"/>
      <c r="BI14" s="539"/>
      <c r="BJ14" s="539"/>
      <c r="BK14" s="539"/>
      <c r="BL14" s="539"/>
      <c r="BM14" s="539"/>
      <c r="BN14" s="539"/>
      <c r="BO14" s="539"/>
      <c r="BP14" s="518"/>
    </row>
    <row r="15" spans="1:68" s="88" customFormat="1" ht="24.75" thickBot="1" x14ac:dyDescent="0.3">
      <c r="A15" s="450"/>
      <c r="B15" s="449" t="s">
        <v>162</v>
      </c>
      <c r="C15" s="23" t="s">
        <v>163</v>
      </c>
      <c r="D15" s="24" t="s">
        <v>164</v>
      </c>
      <c r="E15" s="450"/>
      <c r="G15" s="450"/>
      <c r="H15" s="449" t="s">
        <v>162</v>
      </c>
      <c r="I15" s="23" t="s">
        <v>163</v>
      </c>
      <c r="J15" s="26" t="s">
        <v>165</v>
      </c>
      <c r="K15" s="450"/>
      <c r="M15" s="450"/>
      <c r="N15" s="449" t="s">
        <v>162</v>
      </c>
      <c r="O15" s="23" t="s">
        <v>163</v>
      </c>
      <c r="P15" s="25" t="s">
        <v>166</v>
      </c>
      <c r="Q15" s="450"/>
      <c r="S15" s="450"/>
      <c r="T15" s="449" t="s">
        <v>162</v>
      </c>
      <c r="U15" s="23" t="s">
        <v>163</v>
      </c>
      <c r="V15" s="26" t="s">
        <v>167</v>
      </c>
      <c r="W15" s="450"/>
      <c r="Y15" s="450"/>
      <c r="Z15" s="451"/>
      <c r="AA15" s="27" t="s">
        <v>114</v>
      </c>
      <c r="AB15" s="29" t="s">
        <v>168</v>
      </c>
      <c r="AC15" s="450"/>
      <c r="AE15" s="450"/>
      <c r="AF15" s="449" t="s">
        <v>162</v>
      </c>
      <c r="AG15" s="23" t="s">
        <v>163</v>
      </c>
      <c r="AH15" s="29" t="s">
        <v>169</v>
      </c>
      <c r="AI15" s="450"/>
      <c r="AK15" s="450"/>
      <c r="AL15" s="449" t="s">
        <v>162</v>
      </c>
      <c r="AM15" s="23" t="s">
        <v>163</v>
      </c>
      <c r="AN15" s="29" t="s">
        <v>170</v>
      </c>
      <c r="AO15" s="29" t="s">
        <v>170</v>
      </c>
      <c r="AP15" s="450"/>
      <c r="AR15" s="450"/>
      <c r="AS15" s="450"/>
      <c r="AT15" s="450"/>
      <c r="AU15" s="471"/>
      <c r="AV15" s="146"/>
      <c r="AX15" s="516"/>
      <c r="AY15" s="539"/>
      <c r="AZ15" s="539"/>
      <c r="BA15" s="539"/>
      <c r="BB15" s="539"/>
      <c r="BC15" s="539"/>
      <c r="BD15" s="539"/>
      <c r="BE15" s="539"/>
      <c r="BF15" s="518"/>
      <c r="BH15" s="516"/>
      <c r="BI15" s="539"/>
      <c r="BJ15" s="539"/>
      <c r="BK15" s="539"/>
      <c r="BL15" s="539"/>
      <c r="BM15" s="539"/>
      <c r="BN15" s="539"/>
      <c r="BO15" s="539"/>
      <c r="BP15" s="518"/>
    </row>
    <row r="16" spans="1:68" s="88" customFormat="1" ht="24.75" thickBot="1" x14ac:dyDescent="0.3">
      <c r="A16" s="451"/>
      <c r="B16" s="451"/>
      <c r="C16" s="23" t="s">
        <v>171</v>
      </c>
      <c r="D16" s="24" t="s">
        <v>172</v>
      </c>
      <c r="E16" s="451"/>
      <c r="G16" s="451"/>
      <c r="H16" s="451"/>
      <c r="I16" s="23" t="s">
        <v>171</v>
      </c>
      <c r="J16" s="28">
        <v>0</v>
      </c>
      <c r="K16" s="451"/>
      <c r="M16" s="451"/>
      <c r="N16" s="451"/>
      <c r="O16" s="23" t="s">
        <v>171</v>
      </c>
      <c r="P16" s="25" t="s">
        <v>173</v>
      </c>
      <c r="Q16" s="451"/>
      <c r="S16" s="451"/>
      <c r="T16" s="451"/>
      <c r="U16" s="23" t="s">
        <v>171</v>
      </c>
      <c r="V16" s="26" t="s">
        <v>174</v>
      </c>
      <c r="W16" s="451"/>
      <c r="Y16" s="450"/>
      <c r="Z16" s="449" t="s">
        <v>162</v>
      </c>
      <c r="AA16" s="27" t="s">
        <v>163</v>
      </c>
      <c r="AB16" s="29" t="s">
        <v>175</v>
      </c>
      <c r="AC16" s="450"/>
      <c r="AE16" s="451"/>
      <c r="AF16" s="451"/>
      <c r="AG16" s="23" t="s">
        <v>171</v>
      </c>
      <c r="AH16" s="28">
        <v>0</v>
      </c>
      <c r="AI16" s="451"/>
      <c r="AK16" s="451"/>
      <c r="AL16" s="451"/>
      <c r="AM16" s="23" t="s">
        <v>171</v>
      </c>
      <c r="AN16" s="24">
        <v>0</v>
      </c>
      <c r="AO16" s="24">
        <v>0</v>
      </c>
      <c r="AP16" s="451"/>
      <c r="AR16" s="450"/>
      <c r="AS16" s="450"/>
      <c r="AT16" s="451"/>
      <c r="AU16" s="472"/>
      <c r="AV16" s="449" t="s">
        <v>545</v>
      </c>
      <c r="AX16" s="516"/>
      <c r="AY16" s="539"/>
      <c r="AZ16" s="539"/>
      <c r="BA16" s="539"/>
      <c r="BB16" s="539"/>
      <c r="BC16" s="539"/>
      <c r="BD16" s="539"/>
      <c r="BE16" s="539"/>
      <c r="BF16" s="518"/>
      <c r="BH16" s="516"/>
      <c r="BI16" s="539"/>
      <c r="BJ16" s="539"/>
      <c r="BK16" s="539"/>
      <c r="BL16" s="539"/>
      <c r="BM16" s="539"/>
      <c r="BN16" s="539"/>
      <c r="BO16" s="539"/>
      <c r="BP16" s="518"/>
    </row>
    <row r="17" spans="1:68" s="88" customFormat="1" ht="72.75" thickBot="1" x14ac:dyDescent="0.3">
      <c r="A17" s="449" t="s">
        <v>176</v>
      </c>
      <c r="B17" s="449" t="s">
        <v>177</v>
      </c>
      <c r="C17" s="449" t="s">
        <v>178</v>
      </c>
      <c r="D17" s="456" t="s">
        <v>179</v>
      </c>
      <c r="E17" s="449"/>
      <c r="G17" s="449" t="s">
        <v>176</v>
      </c>
      <c r="H17" s="449" t="s">
        <v>177</v>
      </c>
      <c r="I17" s="449" t="s">
        <v>178</v>
      </c>
      <c r="J17" s="456" t="s">
        <v>180</v>
      </c>
      <c r="K17" s="449"/>
      <c r="M17" s="449" t="s">
        <v>176</v>
      </c>
      <c r="N17" s="449" t="s">
        <v>177</v>
      </c>
      <c r="O17" s="449" t="s">
        <v>178</v>
      </c>
      <c r="P17" s="456" t="s">
        <v>181</v>
      </c>
      <c r="Q17" s="449"/>
      <c r="S17" s="449" t="s">
        <v>176</v>
      </c>
      <c r="T17" s="449" t="s">
        <v>177</v>
      </c>
      <c r="U17" s="449" t="s">
        <v>178</v>
      </c>
      <c r="V17" s="456" t="s">
        <v>182</v>
      </c>
      <c r="W17" s="449"/>
      <c r="Y17" s="450"/>
      <c r="Z17" s="450"/>
      <c r="AA17" s="27" t="s">
        <v>171</v>
      </c>
      <c r="AB17" s="28">
        <v>0</v>
      </c>
      <c r="AC17" s="450"/>
      <c r="AE17" s="449" t="s">
        <v>176</v>
      </c>
      <c r="AF17" s="449" t="s">
        <v>177</v>
      </c>
      <c r="AG17" s="449" t="s">
        <v>178</v>
      </c>
      <c r="AH17" s="452" t="s">
        <v>183</v>
      </c>
      <c r="AI17" s="454"/>
      <c r="AK17" s="83" t="s">
        <v>176</v>
      </c>
      <c r="AL17" s="23" t="s">
        <v>177</v>
      </c>
      <c r="AM17" s="23" t="s">
        <v>184</v>
      </c>
      <c r="AN17" s="23" t="s">
        <v>185</v>
      </c>
      <c r="AO17" s="23" t="s">
        <v>185</v>
      </c>
      <c r="AP17" s="23"/>
      <c r="AR17" s="450"/>
      <c r="AS17" s="451"/>
      <c r="AT17" s="23" t="s">
        <v>158</v>
      </c>
      <c r="AU17" s="24">
        <v>0</v>
      </c>
      <c r="AV17" s="450"/>
      <c r="AX17" s="519"/>
      <c r="AY17" s="520"/>
      <c r="AZ17" s="520"/>
      <c r="BA17" s="520"/>
      <c r="BB17" s="520"/>
      <c r="BC17" s="520"/>
      <c r="BD17" s="520"/>
      <c r="BE17" s="520"/>
      <c r="BF17" s="521"/>
      <c r="BH17" s="519"/>
      <c r="BI17" s="520"/>
      <c r="BJ17" s="520"/>
      <c r="BK17" s="520"/>
      <c r="BL17" s="520"/>
      <c r="BM17" s="520"/>
      <c r="BN17" s="520"/>
      <c r="BO17" s="520"/>
      <c r="BP17" s="521"/>
    </row>
    <row r="18" spans="1:68" s="88" customFormat="1" ht="288.75" thickBot="1" x14ac:dyDescent="0.3">
      <c r="A18" s="450"/>
      <c r="B18" s="450"/>
      <c r="C18" s="451"/>
      <c r="D18" s="457"/>
      <c r="E18" s="451"/>
      <c r="G18" s="450"/>
      <c r="H18" s="450"/>
      <c r="I18" s="451"/>
      <c r="J18" s="457"/>
      <c r="K18" s="451"/>
      <c r="M18" s="450"/>
      <c r="N18" s="450"/>
      <c r="O18" s="451"/>
      <c r="P18" s="457"/>
      <c r="Q18" s="451"/>
      <c r="S18" s="450"/>
      <c r="T18" s="450"/>
      <c r="U18" s="451"/>
      <c r="V18" s="457"/>
      <c r="W18" s="451"/>
      <c r="Y18" s="451"/>
      <c r="Z18" s="451"/>
      <c r="AA18" s="27" t="s">
        <v>186</v>
      </c>
      <c r="AB18" s="28" t="s">
        <v>187</v>
      </c>
      <c r="AC18" s="451"/>
      <c r="AE18" s="450"/>
      <c r="AF18" s="450"/>
      <c r="AG18" s="451"/>
      <c r="AH18" s="453"/>
      <c r="AI18" s="455"/>
      <c r="AK18" s="449" t="s">
        <v>188</v>
      </c>
      <c r="AL18" s="23" t="s">
        <v>189</v>
      </c>
      <c r="AM18" s="23" t="s">
        <v>190</v>
      </c>
      <c r="AN18" s="23" t="s">
        <v>191</v>
      </c>
      <c r="AO18" s="23" t="s">
        <v>192</v>
      </c>
      <c r="AP18" s="23" t="s">
        <v>193</v>
      </c>
      <c r="AR18" s="450"/>
      <c r="AS18" s="449" t="s">
        <v>162</v>
      </c>
      <c r="AT18" s="23" t="s">
        <v>163</v>
      </c>
      <c r="AU18" s="24">
        <v>1</v>
      </c>
      <c r="AV18" s="450" t="s">
        <v>492</v>
      </c>
    </row>
    <row r="19" spans="1:68" s="88" customFormat="1" ht="72.75" thickBot="1" x14ac:dyDescent="0.3">
      <c r="A19" s="450"/>
      <c r="B19" s="450"/>
      <c r="C19" s="449" t="s">
        <v>194</v>
      </c>
      <c r="D19" s="456" t="s">
        <v>195</v>
      </c>
      <c r="E19" s="449"/>
      <c r="G19" s="450"/>
      <c r="H19" s="450"/>
      <c r="I19" s="449" t="s">
        <v>194</v>
      </c>
      <c r="J19" s="456" t="s">
        <v>196</v>
      </c>
      <c r="K19" s="449"/>
      <c r="M19" s="450"/>
      <c r="N19" s="450"/>
      <c r="O19" s="449" t="s">
        <v>194</v>
      </c>
      <c r="P19" s="456" t="s">
        <v>181</v>
      </c>
      <c r="Q19" s="449"/>
      <c r="S19" s="450"/>
      <c r="T19" s="450"/>
      <c r="U19" s="449" t="s">
        <v>194</v>
      </c>
      <c r="V19" s="456" t="s">
        <v>197</v>
      </c>
      <c r="W19" s="449"/>
      <c r="Y19" s="449" t="s">
        <v>176</v>
      </c>
      <c r="Z19" s="449" t="s">
        <v>177</v>
      </c>
      <c r="AA19" s="27" t="s">
        <v>178</v>
      </c>
      <c r="AB19" s="30">
        <v>0</v>
      </c>
      <c r="AC19" s="27"/>
      <c r="AE19" s="450"/>
      <c r="AF19" s="450"/>
      <c r="AG19" s="449" t="s">
        <v>194</v>
      </c>
      <c r="AH19" s="452" t="s">
        <v>198</v>
      </c>
      <c r="AI19" s="454"/>
      <c r="AK19" s="450"/>
      <c r="AL19" s="449" t="s">
        <v>199</v>
      </c>
      <c r="AM19" s="23" t="s">
        <v>200</v>
      </c>
      <c r="AN19" s="23" t="s">
        <v>201</v>
      </c>
      <c r="AO19" s="23" t="s">
        <v>201</v>
      </c>
      <c r="AP19" s="23" t="s">
        <v>202</v>
      </c>
      <c r="AR19" s="451"/>
      <c r="AS19" s="451"/>
      <c r="AT19" s="23" t="s">
        <v>171</v>
      </c>
      <c r="AU19" s="24">
        <v>0</v>
      </c>
      <c r="AV19" s="451"/>
    </row>
    <row r="20" spans="1:68" s="88" customFormat="1" ht="24.75" thickBot="1" x14ac:dyDescent="0.3">
      <c r="A20" s="450"/>
      <c r="B20" s="451"/>
      <c r="C20" s="451"/>
      <c r="D20" s="457"/>
      <c r="E20" s="451"/>
      <c r="G20" s="450"/>
      <c r="H20" s="451"/>
      <c r="I20" s="451"/>
      <c r="J20" s="457"/>
      <c r="K20" s="451"/>
      <c r="M20" s="450"/>
      <c r="N20" s="451"/>
      <c r="O20" s="451"/>
      <c r="P20" s="457"/>
      <c r="Q20" s="451"/>
      <c r="S20" s="450"/>
      <c r="T20" s="451"/>
      <c r="U20" s="451"/>
      <c r="V20" s="457"/>
      <c r="W20" s="451"/>
      <c r="Y20" s="450"/>
      <c r="Z20" s="450"/>
      <c r="AA20" s="454" t="s">
        <v>194</v>
      </c>
      <c r="AB20" s="452" t="s">
        <v>203</v>
      </c>
      <c r="AC20" s="454"/>
      <c r="AE20" s="450"/>
      <c r="AF20" s="451"/>
      <c r="AG20" s="451"/>
      <c r="AH20" s="453"/>
      <c r="AI20" s="455"/>
      <c r="AK20" s="451"/>
      <c r="AL20" s="451"/>
      <c r="AM20" s="23" t="s">
        <v>204</v>
      </c>
      <c r="AN20" s="23" t="s">
        <v>205</v>
      </c>
      <c r="AO20" s="23" t="s">
        <v>205</v>
      </c>
      <c r="AP20" s="23"/>
      <c r="AR20" s="449" t="s">
        <v>176</v>
      </c>
      <c r="AS20" s="449" t="s">
        <v>177</v>
      </c>
      <c r="AT20" s="449" t="s">
        <v>493</v>
      </c>
      <c r="AU20" s="449" t="s">
        <v>494</v>
      </c>
      <c r="AV20" s="32" t="s">
        <v>495</v>
      </c>
    </row>
    <row r="21" spans="1:68" s="88" customFormat="1" ht="24.75" thickBot="1" x14ac:dyDescent="0.3">
      <c r="A21" s="450"/>
      <c r="B21" s="449" t="s">
        <v>206</v>
      </c>
      <c r="C21" s="449" t="s">
        <v>207</v>
      </c>
      <c r="D21" s="456" t="s">
        <v>208</v>
      </c>
      <c r="E21" s="449" t="s">
        <v>209</v>
      </c>
      <c r="G21" s="450"/>
      <c r="H21" s="449" t="s">
        <v>206</v>
      </c>
      <c r="I21" s="449" t="s">
        <v>207</v>
      </c>
      <c r="J21" s="456" t="s">
        <v>210</v>
      </c>
      <c r="K21" s="449" t="s">
        <v>211</v>
      </c>
      <c r="M21" s="450"/>
      <c r="N21" s="449" t="s">
        <v>206</v>
      </c>
      <c r="O21" s="449" t="s">
        <v>212</v>
      </c>
      <c r="P21" s="456" t="s">
        <v>213</v>
      </c>
      <c r="Q21" s="449" t="s">
        <v>214</v>
      </c>
      <c r="S21" s="450"/>
      <c r="T21" s="449" t="s">
        <v>206</v>
      </c>
      <c r="U21" s="449" t="s">
        <v>207</v>
      </c>
      <c r="V21" s="456" t="s">
        <v>215</v>
      </c>
      <c r="W21" s="449" t="s">
        <v>211</v>
      </c>
      <c r="Y21" s="450"/>
      <c r="Z21" s="451"/>
      <c r="AA21" s="455"/>
      <c r="AB21" s="453"/>
      <c r="AC21" s="455"/>
      <c r="AE21" s="450"/>
      <c r="AF21" s="449" t="s">
        <v>206</v>
      </c>
      <c r="AG21" s="449" t="s">
        <v>207</v>
      </c>
      <c r="AH21" s="452" t="s">
        <v>216</v>
      </c>
      <c r="AI21" s="454" t="s">
        <v>217</v>
      </c>
      <c r="AK21" s="449" t="s">
        <v>218</v>
      </c>
      <c r="AL21" s="32" t="s">
        <v>219</v>
      </c>
      <c r="AM21" s="23" t="s">
        <v>220</v>
      </c>
      <c r="AN21" s="23" t="s">
        <v>221</v>
      </c>
      <c r="AO21" s="23" t="s">
        <v>221</v>
      </c>
      <c r="AP21" s="23"/>
      <c r="AR21" s="450"/>
      <c r="AS21" s="450"/>
      <c r="AT21" s="451"/>
      <c r="AU21" s="451"/>
      <c r="AV21" s="32"/>
    </row>
    <row r="22" spans="1:68" s="88" customFormat="1" ht="132.75" thickBot="1" x14ac:dyDescent="0.3">
      <c r="A22" s="450"/>
      <c r="B22" s="451"/>
      <c r="C22" s="451"/>
      <c r="D22" s="457"/>
      <c r="E22" s="451"/>
      <c r="G22" s="450"/>
      <c r="H22" s="451"/>
      <c r="I22" s="451"/>
      <c r="J22" s="457"/>
      <c r="K22" s="451"/>
      <c r="M22" s="450"/>
      <c r="N22" s="451"/>
      <c r="O22" s="451"/>
      <c r="P22" s="457"/>
      <c r="Q22" s="451"/>
      <c r="S22" s="450"/>
      <c r="T22" s="451"/>
      <c r="U22" s="451"/>
      <c r="V22" s="457"/>
      <c r="W22" s="451"/>
      <c r="Y22" s="450"/>
      <c r="Z22" s="449" t="s">
        <v>206</v>
      </c>
      <c r="AA22" s="454" t="s">
        <v>207</v>
      </c>
      <c r="AB22" s="452" t="s">
        <v>222</v>
      </c>
      <c r="AC22" s="454" t="s">
        <v>214</v>
      </c>
      <c r="AE22" s="450"/>
      <c r="AF22" s="451"/>
      <c r="AG22" s="451"/>
      <c r="AH22" s="453"/>
      <c r="AI22" s="455"/>
      <c r="AK22" s="450"/>
      <c r="AL22" s="33" t="s">
        <v>223</v>
      </c>
      <c r="AM22" s="23" t="s">
        <v>224</v>
      </c>
      <c r="AN22" s="23" t="s">
        <v>225</v>
      </c>
      <c r="AO22" s="23" t="s">
        <v>225</v>
      </c>
      <c r="AP22" s="23" t="s">
        <v>226</v>
      </c>
      <c r="AR22" s="450"/>
      <c r="AS22" s="450"/>
      <c r="AT22" s="449" t="s">
        <v>194</v>
      </c>
      <c r="AU22" s="449" t="s">
        <v>497</v>
      </c>
      <c r="AV22" s="32" t="s">
        <v>496</v>
      </c>
    </row>
    <row r="23" spans="1:68" s="88" customFormat="1" ht="180.75" thickBot="1" x14ac:dyDescent="0.3">
      <c r="A23" s="450"/>
      <c r="B23" s="32" t="s">
        <v>227</v>
      </c>
      <c r="C23" s="23" t="s">
        <v>228</v>
      </c>
      <c r="D23" s="23" t="s">
        <v>229</v>
      </c>
      <c r="E23" s="23" t="s">
        <v>230</v>
      </c>
      <c r="G23" s="450"/>
      <c r="H23" s="32" t="s">
        <v>227</v>
      </c>
      <c r="I23" s="23" t="s">
        <v>228</v>
      </c>
      <c r="J23" s="24">
        <v>0</v>
      </c>
      <c r="K23" s="23"/>
      <c r="M23" s="450"/>
      <c r="N23" s="32" t="s">
        <v>227</v>
      </c>
      <c r="O23" s="23" t="s">
        <v>228</v>
      </c>
      <c r="P23" s="23" t="s">
        <v>231</v>
      </c>
      <c r="Q23" s="23" t="s">
        <v>232</v>
      </c>
      <c r="S23" s="450"/>
      <c r="T23" s="32" t="s">
        <v>227</v>
      </c>
      <c r="U23" s="23" t="s">
        <v>228</v>
      </c>
      <c r="V23" s="34" t="s">
        <v>233</v>
      </c>
      <c r="W23" s="23"/>
      <c r="Y23" s="450"/>
      <c r="Z23" s="451"/>
      <c r="AA23" s="455"/>
      <c r="AB23" s="453"/>
      <c r="AC23" s="455"/>
      <c r="AE23" s="450"/>
      <c r="AF23" s="32" t="s">
        <v>227</v>
      </c>
      <c r="AG23" s="23" t="s">
        <v>228</v>
      </c>
      <c r="AH23" s="35" t="s">
        <v>234</v>
      </c>
      <c r="AI23" s="23"/>
      <c r="AK23" s="450"/>
      <c r="AL23" s="23" t="s">
        <v>235</v>
      </c>
      <c r="AM23" s="23" t="s">
        <v>236</v>
      </c>
      <c r="AN23" s="23" t="s">
        <v>237</v>
      </c>
      <c r="AO23" s="23" t="s">
        <v>237</v>
      </c>
      <c r="AP23" s="23"/>
      <c r="AR23" s="450"/>
      <c r="AS23" s="451"/>
      <c r="AT23" s="451"/>
      <c r="AU23" s="451"/>
      <c r="AV23" s="147"/>
    </row>
    <row r="24" spans="1:68" s="88" customFormat="1" ht="36.75" thickBot="1" x14ac:dyDescent="0.3">
      <c r="A24" s="450"/>
      <c r="B24" s="23" t="s">
        <v>238</v>
      </c>
      <c r="C24" s="23" t="s">
        <v>239</v>
      </c>
      <c r="D24" s="23" t="s">
        <v>240</v>
      </c>
      <c r="E24" s="23" t="s">
        <v>241</v>
      </c>
      <c r="G24" s="450"/>
      <c r="H24" s="23" t="s">
        <v>238</v>
      </c>
      <c r="I24" s="23" t="s">
        <v>239</v>
      </c>
      <c r="J24" s="23" t="s">
        <v>242</v>
      </c>
      <c r="K24" s="23" t="s">
        <v>243</v>
      </c>
      <c r="M24" s="450"/>
      <c r="N24" s="23" t="s">
        <v>238</v>
      </c>
      <c r="O24" s="23" t="s">
        <v>239</v>
      </c>
      <c r="P24" s="23" t="s">
        <v>244</v>
      </c>
      <c r="Q24" s="23" t="s">
        <v>245</v>
      </c>
      <c r="S24" s="450"/>
      <c r="T24" s="23" t="s">
        <v>238</v>
      </c>
      <c r="U24" s="23" t="s">
        <v>239</v>
      </c>
      <c r="V24" s="23" t="s">
        <v>246</v>
      </c>
      <c r="W24" s="23" t="s">
        <v>247</v>
      </c>
      <c r="Y24" s="450"/>
      <c r="Z24" s="32" t="s">
        <v>227</v>
      </c>
      <c r="AA24" s="27" t="s">
        <v>228</v>
      </c>
      <c r="AB24" s="27" t="s">
        <v>234</v>
      </c>
      <c r="AC24" s="27"/>
      <c r="AE24" s="450"/>
      <c r="AF24" s="23" t="s">
        <v>238</v>
      </c>
      <c r="AG24" s="23" t="s">
        <v>239</v>
      </c>
      <c r="AH24" s="27" t="s">
        <v>248</v>
      </c>
      <c r="AI24" s="27" t="s">
        <v>249</v>
      </c>
      <c r="AK24" s="450"/>
      <c r="AL24" s="449" t="s">
        <v>250</v>
      </c>
      <c r="AM24" s="23" t="s">
        <v>127</v>
      </c>
      <c r="AN24" s="23" t="s">
        <v>251</v>
      </c>
      <c r="AO24" s="23" t="s">
        <v>252</v>
      </c>
      <c r="AP24" s="23"/>
      <c r="AR24" s="450"/>
      <c r="AS24" s="449" t="s">
        <v>206</v>
      </c>
      <c r="AT24" s="449" t="s">
        <v>207</v>
      </c>
      <c r="AU24" s="473">
        <v>0</v>
      </c>
      <c r="AV24" s="147"/>
    </row>
    <row r="25" spans="1:68" s="88" customFormat="1" ht="144.75" thickBot="1" x14ac:dyDescent="0.3">
      <c r="A25" s="450"/>
      <c r="B25" s="449" t="s">
        <v>253</v>
      </c>
      <c r="C25" s="23" t="s">
        <v>254</v>
      </c>
      <c r="D25" s="23" t="s">
        <v>255</v>
      </c>
      <c r="E25" s="23" t="s">
        <v>256</v>
      </c>
      <c r="G25" s="450"/>
      <c r="H25" s="449" t="s">
        <v>253</v>
      </c>
      <c r="I25" s="23" t="s">
        <v>254</v>
      </c>
      <c r="J25" s="23" t="s">
        <v>257</v>
      </c>
      <c r="K25" s="23" t="s">
        <v>258</v>
      </c>
      <c r="M25" s="450"/>
      <c r="N25" s="449" t="s">
        <v>253</v>
      </c>
      <c r="O25" s="23" t="s">
        <v>126</v>
      </c>
      <c r="P25" s="23" t="s">
        <v>259</v>
      </c>
      <c r="Q25" s="23" t="s">
        <v>258</v>
      </c>
      <c r="S25" s="450"/>
      <c r="T25" s="449" t="s">
        <v>253</v>
      </c>
      <c r="U25" s="23" t="s">
        <v>254</v>
      </c>
      <c r="V25" s="23" t="s">
        <v>260</v>
      </c>
      <c r="W25" s="23" t="s">
        <v>258</v>
      </c>
      <c r="Y25" s="450"/>
      <c r="Z25" s="23" t="s">
        <v>238</v>
      </c>
      <c r="AA25" s="27" t="s">
        <v>239</v>
      </c>
      <c r="AB25" s="27" t="s">
        <v>261</v>
      </c>
      <c r="AC25" s="27" t="s">
        <v>262</v>
      </c>
      <c r="AE25" s="450"/>
      <c r="AF25" s="449" t="s">
        <v>253</v>
      </c>
      <c r="AG25" s="23" t="s">
        <v>254</v>
      </c>
      <c r="AH25" s="27" t="s">
        <v>263</v>
      </c>
      <c r="AI25" s="27" t="s">
        <v>258</v>
      </c>
      <c r="AK25" s="450"/>
      <c r="AL25" s="450"/>
      <c r="AM25" s="23" t="s">
        <v>123</v>
      </c>
      <c r="AN25" s="23" t="s">
        <v>264</v>
      </c>
      <c r="AO25" s="23" t="s">
        <v>265</v>
      </c>
      <c r="AP25" s="23"/>
      <c r="AR25" s="450"/>
      <c r="AS25" s="451"/>
      <c r="AT25" s="451"/>
      <c r="AU25" s="474"/>
      <c r="AV25" s="148"/>
    </row>
    <row r="26" spans="1:68" s="88" customFormat="1" ht="24.75" thickBot="1" x14ac:dyDescent="0.3">
      <c r="A26" s="450"/>
      <c r="B26" s="451"/>
      <c r="C26" s="23" t="s">
        <v>266</v>
      </c>
      <c r="D26" s="23" t="s">
        <v>267</v>
      </c>
      <c r="E26" s="23"/>
      <c r="G26" s="450"/>
      <c r="H26" s="451"/>
      <c r="I26" s="23" t="s">
        <v>268</v>
      </c>
      <c r="J26" s="23" t="s">
        <v>269</v>
      </c>
      <c r="K26" s="23"/>
      <c r="M26" s="450"/>
      <c r="N26" s="451"/>
      <c r="O26" s="23" t="s">
        <v>270</v>
      </c>
      <c r="P26" s="23" t="s">
        <v>271</v>
      </c>
      <c r="Q26" s="23"/>
      <c r="S26" s="450"/>
      <c r="T26" s="451"/>
      <c r="U26" s="23" t="s">
        <v>266</v>
      </c>
      <c r="V26" s="23" t="s">
        <v>260</v>
      </c>
      <c r="W26" s="23"/>
      <c r="Y26" s="450"/>
      <c r="Z26" s="449" t="s">
        <v>253</v>
      </c>
      <c r="AA26" s="27" t="s">
        <v>254</v>
      </c>
      <c r="AB26" s="27" t="s">
        <v>272</v>
      </c>
      <c r="AC26" s="27"/>
      <c r="AE26" s="450"/>
      <c r="AF26" s="451"/>
      <c r="AG26" s="23" t="s">
        <v>268</v>
      </c>
      <c r="AH26" s="27" t="s">
        <v>273</v>
      </c>
      <c r="AI26" s="23"/>
      <c r="AK26" s="450"/>
      <c r="AL26" s="450"/>
      <c r="AM26" s="23" t="s">
        <v>132</v>
      </c>
      <c r="AN26" s="23" t="s">
        <v>274</v>
      </c>
      <c r="AO26" s="23" t="s">
        <v>275</v>
      </c>
      <c r="AP26" s="23"/>
      <c r="AR26" s="450"/>
      <c r="AS26" s="32" t="s">
        <v>227</v>
      </c>
      <c r="AT26" s="23" t="s">
        <v>228</v>
      </c>
      <c r="AU26" s="24">
        <v>0</v>
      </c>
      <c r="AV26" s="23"/>
    </row>
    <row r="27" spans="1:68" s="88" customFormat="1" ht="36.75" thickBot="1" x14ac:dyDescent="0.3">
      <c r="A27" s="451"/>
      <c r="B27" s="23" t="s">
        <v>276</v>
      </c>
      <c r="C27" s="23" t="s">
        <v>277</v>
      </c>
      <c r="D27" s="23" t="s">
        <v>278</v>
      </c>
      <c r="E27" s="23"/>
      <c r="G27" s="451"/>
      <c r="H27" s="23" t="s">
        <v>276</v>
      </c>
      <c r="I27" s="23" t="s">
        <v>277</v>
      </c>
      <c r="J27" s="23" t="s">
        <v>278</v>
      </c>
      <c r="K27" s="23"/>
      <c r="M27" s="451"/>
      <c r="N27" s="23" t="s">
        <v>276</v>
      </c>
      <c r="O27" s="23" t="s">
        <v>277</v>
      </c>
      <c r="P27" s="23" t="s">
        <v>279</v>
      </c>
      <c r="Q27" s="23"/>
      <c r="S27" s="451"/>
      <c r="T27" s="23" t="s">
        <v>276</v>
      </c>
      <c r="U27" s="23" t="s">
        <v>277</v>
      </c>
      <c r="V27" s="23" t="s">
        <v>278</v>
      </c>
      <c r="W27" s="23"/>
      <c r="Y27" s="450"/>
      <c r="Z27" s="451"/>
      <c r="AA27" s="27" t="s">
        <v>280</v>
      </c>
      <c r="AB27" s="27" t="s">
        <v>281</v>
      </c>
      <c r="AC27" s="27" t="s">
        <v>282</v>
      </c>
      <c r="AE27" s="451"/>
      <c r="AF27" s="23" t="s">
        <v>276</v>
      </c>
      <c r="AG27" s="23" t="s">
        <v>277</v>
      </c>
      <c r="AH27" s="27" t="s">
        <v>283</v>
      </c>
      <c r="AI27" s="23"/>
      <c r="AK27" s="450"/>
      <c r="AL27" s="450"/>
      <c r="AM27" s="23" t="s">
        <v>284</v>
      </c>
      <c r="AN27" s="23" t="s">
        <v>285</v>
      </c>
      <c r="AO27" s="23" t="s">
        <v>265</v>
      </c>
      <c r="AP27" s="23"/>
      <c r="AR27" s="450"/>
      <c r="AS27" s="23" t="s">
        <v>238</v>
      </c>
      <c r="AT27" s="23" t="s">
        <v>239</v>
      </c>
      <c r="AU27" s="23" t="s">
        <v>498</v>
      </c>
      <c r="AV27" s="23" t="s">
        <v>499</v>
      </c>
    </row>
    <row r="28" spans="1:68" s="88" customFormat="1" ht="60.75" thickBot="1" x14ac:dyDescent="0.3">
      <c r="A28" s="449" t="s">
        <v>188</v>
      </c>
      <c r="B28" s="449" t="s">
        <v>286</v>
      </c>
      <c r="C28" s="23" t="s">
        <v>190</v>
      </c>
      <c r="D28" s="23" t="s">
        <v>287</v>
      </c>
      <c r="E28" s="23"/>
      <c r="G28" s="449" t="s">
        <v>188</v>
      </c>
      <c r="H28" s="449" t="s">
        <v>286</v>
      </c>
      <c r="I28" s="23" t="s">
        <v>190</v>
      </c>
      <c r="J28" s="23" t="s">
        <v>288</v>
      </c>
      <c r="K28" s="23"/>
      <c r="M28" s="449" t="s">
        <v>188</v>
      </c>
      <c r="N28" s="449" t="s">
        <v>286</v>
      </c>
      <c r="O28" s="23" t="s">
        <v>190</v>
      </c>
      <c r="P28" s="23" t="s">
        <v>289</v>
      </c>
      <c r="Q28" s="23"/>
      <c r="S28" s="449" t="s">
        <v>188</v>
      </c>
      <c r="T28" s="449" t="s">
        <v>286</v>
      </c>
      <c r="U28" s="23" t="s">
        <v>190</v>
      </c>
      <c r="V28" s="23" t="s">
        <v>290</v>
      </c>
      <c r="W28" s="23"/>
      <c r="Y28" s="451"/>
      <c r="Z28" s="23" t="s">
        <v>276</v>
      </c>
      <c r="AA28" s="27" t="s">
        <v>277</v>
      </c>
      <c r="AB28" s="27" t="s">
        <v>291</v>
      </c>
      <c r="AC28" s="27"/>
      <c r="AE28" s="449" t="s">
        <v>188</v>
      </c>
      <c r="AF28" s="449" t="s">
        <v>286</v>
      </c>
      <c r="AG28" s="23" t="s">
        <v>190</v>
      </c>
      <c r="AH28" s="27" t="s">
        <v>292</v>
      </c>
      <c r="AI28" s="27"/>
      <c r="AK28" s="450"/>
      <c r="AL28" s="458"/>
      <c r="AM28" s="23" t="s">
        <v>597</v>
      </c>
      <c r="AN28" s="24">
        <v>0</v>
      </c>
      <c r="AO28" s="23" t="s">
        <v>293</v>
      </c>
      <c r="AP28" s="23" t="s">
        <v>598</v>
      </c>
      <c r="AR28" s="450"/>
      <c r="AS28" s="449" t="s">
        <v>253</v>
      </c>
      <c r="AT28" s="23" t="s">
        <v>266</v>
      </c>
      <c r="AU28" s="23" t="s">
        <v>497</v>
      </c>
      <c r="AV28" s="23" t="s">
        <v>500</v>
      </c>
    </row>
    <row r="29" spans="1:68" s="88" customFormat="1" ht="72.75" thickBot="1" x14ac:dyDescent="0.3">
      <c r="A29" s="450"/>
      <c r="B29" s="450"/>
      <c r="C29" s="23" t="s">
        <v>294</v>
      </c>
      <c r="D29" s="23" t="s">
        <v>295</v>
      </c>
      <c r="E29" s="23" t="s">
        <v>296</v>
      </c>
      <c r="G29" s="450"/>
      <c r="H29" s="450"/>
      <c r="I29" s="23" t="s">
        <v>294</v>
      </c>
      <c r="J29" s="23" t="s">
        <v>297</v>
      </c>
      <c r="K29" s="23" t="s">
        <v>296</v>
      </c>
      <c r="M29" s="450"/>
      <c r="N29" s="450"/>
      <c r="O29" s="23" t="s">
        <v>294</v>
      </c>
      <c r="P29" s="23" t="s">
        <v>297</v>
      </c>
      <c r="Q29" s="23" t="s">
        <v>296</v>
      </c>
      <c r="S29" s="450"/>
      <c r="T29" s="450"/>
      <c r="U29" s="23" t="s">
        <v>294</v>
      </c>
      <c r="V29" s="23" t="s">
        <v>290</v>
      </c>
      <c r="W29" s="23"/>
      <c r="Y29" s="449" t="s">
        <v>188</v>
      </c>
      <c r="Z29" s="449" t="s">
        <v>286</v>
      </c>
      <c r="AA29" s="27" t="s">
        <v>190</v>
      </c>
      <c r="AB29" s="27" t="s">
        <v>290</v>
      </c>
      <c r="AC29" s="27"/>
      <c r="AE29" s="450"/>
      <c r="AF29" s="450"/>
      <c r="AG29" s="23" t="s">
        <v>294</v>
      </c>
      <c r="AH29" s="27" t="s">
        <v>297</v>
      </c>
      <c r="AI29" s="27" t="s">
        <v>298</v>
      </c>
      <c r="AK29" s="450"/>
      <c r="AL29" s="23" t="s">
        <v>299</v>
      </c>
      <c r="AM29" s="23" t="s">
        <v>300</v>
      </c>
      <c r="AN29" s="23" t="s">
        <v>301</v>
      </c>
      <c r="AO29" s="23" t="s">
        <v>301</v>
      </c>
      <c r="AP29" s="23"/>
      <c r="AR29" s="450"/>
      <c r="AS29" s="451"/>
      <c r="AT29" s="23" t="s">
        <v>501</v>
      </c>
      <c r="AU29" s="149">
        <v>0</v>
      </c>
      <c r="AV29" s="27" t="s">
        <v>502</v>
      </c>
    </row>
    <row r="30" spans="1:68" s="88" customFormat="1" ht="24.75" thickBot="1" x14ac:dyDescent="0.3">
      <c r="A30" s="450"/>
      <c r="B30" s="451"/>
      <c r="C30" s="23" t="s">
        <v>302</v>
      </c>
      <c r="D30" s="23" t="s">
        <v>290</v>
      </c>
      <c r="E30" s="23"/>
      <c r="G30" s="450"/>
      <c r="H30" s="451"/>
      <c r="I30" s="23" t="s">
        <v>302</v>
      </c>
      <c r="J30" s="23" t="s">
        <v>303</v>
      </c>
      <c r="K30" s="23"/>
      <c r="M30" s="450"/>
      <c r="N30" s="451"/>
      <c r="O30" s="23" t="s">
        <v>302</v>
      </c>
      <c r="P30" s="23" t="s">
        <v>304</v>
      </c>
      <c r="Q30" s="23"/>
      <c r="S30" s="450"/>
      <c r="T30" s="451"/>
      <c r="U30" s="23" t="s">
        <v>302</v>
      </c>
      <c r="V30" s="23" t="s">
        <v>305</v>
      </c>
      <c r="W30" s="23"/>
      <c r="Y30" s="450"/>
      <c r="Z30" s="450"/>
      <c r="AA30" s="27" t="s">
        <v>294</v>
      </c>
      <c r="AB30" s="27" t="s">
        <v>290</v>
      </c>
      <c r="AC30" s="27"/>
      <c r="AE30" s="450"/>
      <c r="AF30" s="451"/>
      <c r="AG30" s="23" t="s">
        <v>302</v>
      </c>
      <c r="AH30" s="27" t="s">
        <v>290</v>
      </c>
      <c r="AI30" s="36"/>
      <c r="AK30" s="450"/>
      <c r="AL30" s="449" t="s">
        <v>306</v>
      </c>
      <c r="AM30" s="449" t="s">
        <v>307</v>
      </c>
      <c r="AN30" s="456" t="s">
        <v>308</v>
      </c>
      <c r="AO30" s="32" t="s">
        <v>308</v>
      </c>
      <c r="AP30" s="449"/>
      <c r="AR30" s="451"/>
      <c r="AS30" s="23" t="s">
        <v>276</v>
      </c>
      <c r="AT30" s="23" t="s">
        <v>277</v>
      </c>
      <c r="AU30" s="23" t="s">
        <v>503</v>
      </c>
      <c r="AV30" s="23" t="s">
        <v>504</v>
      </c>
    </row>
    <row r="31" spans="1:68" s="88" customFormat="1" ht="24.75" thickBot="1" x14ac:dyDescent="0.3">
      <c r="A31" s="450"/>
      <c r="B31" s="449" t="s">
        <v>309</v>
      </c>
      <c r="C31" s="449" t="s">
        <v>310</v>
      </c>
      <c r="D31" s="456" t="s">
        <v>311</v>
      </c>
      <c r="E31" s="449"/>
      <c r="G31" s="450"/>
      <c r="H31" s="449" t="s">
        <v>309</v>
      </c>
      <c r="I31" s="449" t="s">
        <v>310</v>
      </c>
      <c r="J31" s="456" t="s">
        <v>312</v>
      </c>
      <c r="K31" s="449" t="s">
        <v>313</v>
      </c>
      <c r="M31" s="450"/>
      <c r="N31" s="449" t="s">
        <v>309</v>
      </c>
      <c r="O31" s="449" t="s">
        <v>314</v>
      </c>
      <c r="P31" s="456" t="s">
        <v>315</v>
      </c>
      <c r="Q31" s="449" t="s">
        <v>316</v>
      </c>
      <c r="S31" s="450"/>
      <c r="T31" s="449" t="s">
        <v>309</v>
      </c>
      <c r="U31" s="449" t="s">
        <v>310</v>
      </c>
      <c r="V31" s="456" t="s">
        <v>311</v>
      </c>
      <c r="W31" s="449" t="s">
        <v>313</v>
      </c>
      <c r="Y31" s="450"/>
      <c r="Z31" s="451"/>
      <c r="AA31" s="27" t="s">
        <v>302</v>
      </c>
      <c r="AB31" s="27" t="s">
        <v>303</v>
      </c>
      <c r="AC31" s="36"/>
      <c r="AE31" s="450"/>
      <c r="AF31" s="449" t="s">
        <v>309</v>
      </c>
      <c r="AG31" s="449" t="s">
        <v>310</v>
      </c>
      <c r="AH31" s="452" t="s">
        <v>317</v>
      </c>
      <c r="AI31" s="454" t="s">
        <v>313</v>
      </c>
      <c r="AK31" s="451"/>
      <c r="AL31" s="451"/>
      <c r="AM31" s="451"/>
      <c r="AN31" s="457"/>
      <c r="AO31" s="23"/>
      <c r="AP31" s="451"/>
      <c r="AR31" s="449" t="s">
        <v>188</v>
      </c>
      <c r="AS31" s="23" t="s">
        <v>286</v>
      </c>
      <c r="AT31" s="23" t="s">
        <v>190</v>
      </c>
      <c r="AU31" s="23" t="s">
        <v>290</v>
      </c>
      <c r="AV31" s="32" t="s">
        <v>505</v>
      </c>
    </row>
    <row r="32" spans="1:68" s="88" customFormat="1" ht="15.75" thickBot="1" x14ac:dyDescent="0.3">
      <c r="A32" s="450"/>
      <c r="B32" s="451"/>
      <c r="C32" s="451"/>
      <c r="D32" s="457"/>
      <c r="E32" s="451"/>
      <c r="G32" s="450"/>
      <c r="H32" s="451"/>
      <c r="I32" s="451"/>
      <c r="J32" s="457"/>
      <c r="K32" s="451"/>
      <c r="M32" s="450"/>
      <c r="N32" s="451"/>
      <c r="O32" s="451"/>
      <c r="P32" s="457"/>
      <c r="Q32" s="451"/>
      <c r="S32" s="450"/>
      <c r="T32" s="451"/>
      <c r="U32" s="451"/>
      <c r="V32" s="457"/>
      <c r="W32" s="451"/>
      <c r="Y32" s="450"/>
      <c r="Z32" s="449" t="s">
        <v>309</v>
      </c>
      <c r="AA32" s="454" t="s">
        <v>310</v>
      </c>
      <c r="AB32" s="452" t="s">
        <v>317</v>
      </c>
      <c r="AC32" s="454" t="s">
        <v>313</v>
      </c>
      <c r="AE32" s="450"/>
      <c r="AF32" s="451"/>
      <c r="AG32" s="451"/>
      <c r="AH32" s="453"/>
      <c r="AI32" s="455"/>
      <c r="AR32" s="450"/>
      <c r="AS32" s="449" t="s">
        <v>309</v>
      </c>
      <c r="AT32" s="449" t="s">
        <v>507</v>
      </c>
      <c r="AU32" s="32" t="s">
        <v>508</v>
      </c>
      <c r="AV32" s="32"/>
    </row>
    <row r="33" spans="1:48" s="88" customFormat="1" ht="24.75" thickBot="1" x14ac:dyDescent="0.3">
      <c r="A33" s="450"/>
      <c r="B33" s="23" t="s">
        <v>318</v>
      </c>
      <c r="C33" s="23" t="s">
        <v>319</v>
      </c>
      <c r="D33" s="23" t="s">
        <v>320</v>
      </c>
      <c r="E33" s="23"/>
      <c r="G33" s="450"/>
      <c r="H33" s="23" t="s">
        <v>318</v>
      </c>
      <c r="I33" s="23" t="s">
        <v>319</v>
      </c>
      <c r="J33" s="23" t="s">
        <v>290</v>
      </c>
      <c r="K33" s="23"/>
      <c r="M33" s="450"/>
      <c r="N33" s="23" t="s">
        <v>318</v>
      </c>
      <c r="O33" s="23" t="s">
        <v>319</v>
      </c>
      <c r="P33" s="23" t="s">
        <v>321</v>
      </c>
      <c r="Q33" s="23"/>
      <c r="S33" s="450"/>
      <c r="T33" s="23" t="s">
        <v>318</v>
      </c>
      <c r="U33" s="23" t="s">
        <v>319</v>
      </c>
      <c r="V33" s="23" t="s">
        <v>322</v>
      </c>
      <c r="W33" s="23"/>
      <c r="Y33" s="450"/>
      <c r="Z33" s="451"/>
      <c r="AA33" s="455"/>
      <c r="AB33" s="453"/>
      <c r="AC33" s="455"/>
      <c r="AE33" s="450"/>
      <c r="AF33" s="23" t="s">
        <v>318</v>
      </c>
      <c r="AG33" s="23" t="s">
        <v>319</v>
      </c>
      <c r="AH33" s="27" t="s">
        <v>297</v>
      </c>
      <c r="AI33" s="36"/>
      <c r="AR33" s="450"/>
      <c r="AS33" s="450"/>
      <c r="AT33" s="451"/>
      <c r="AU33" s="23" t="s">
        <v>290</v>
      </c>
      <c r="AV33" s="32" t="s">
        <v>506</v>
      </c>
    </row>
    <row r="34" spans="1:48" s="88" customFormat="1" ht="48.75" thickBot="1" x14ac:dyDescent="0.3">
      <c r="A34" s="450"/>
      <c r="B34" s="449" t="s">
        <v>199</v>
      </c>
      <c r="C34" s="23" t="s">
        <v>200</v>
      </c>
      <c r="D34" s="23" t="s">
        <v>201</v>
      </c>
      <c r="E34" s="23" t="s">
        <v>202</v>
      </c>
      <c r="G34" s="450"/>
      <c r="H34" s="449" t="s">
        <v>199</v>
      </c>
      <c r="I34" s="23" t="s">
        <v>200</v>
      </c>
      <c r="J34" s="23" t="s">
        <v>201</v>
      </c>
      <c r="K34" s="23" t="s">
        <v>202</v>
      </c>
      <c r="M34" s="450"/>
      <c r="N34" s="449" t="s">
        <v>199</v>
      </c>
      <c r="O34" s="23" t="s">
        <v>200</v>
      </c>
      <c r="P34" s="23" t="s">
        <v>201</v>
      </c>
      <c r="Q34" s="23"/>
      <c r="S34" s="450"/>
      <c r="T34" s="449" t="s">
        <v>199</v>
      </c>
      <c r="U34" s="23" t="s">
        <v>200</v>
      </c>
      <c r="V34" s="23" t="s">
        <v>201</v>
      </c>
      <c r="W34" s="23" t="s">
        <v>202</v>
      </c>
      <c r="Y34" s="450"/>
      <c r="Z34" s="23" t="s">
        <v>318</v>
      </c>
      <c r="AA34" s="27" t="s">
        <v>319</v>
      </c>
      <c r="AB34" s="27" t="s">
        <v>290</v>
      </c>
      <c r="AC34" s="36"/>
      <c r="AE34" s="450"/>
      <c r="AF34" s="449" t="s">
        <v>199</v>
      </c>
      <c r="AG34" s="23" t="s">
        <v>200</v>
      </c>
      <c r="AH34" s="27" t="s">
        <v>201</v>
      </c>
      <c r="AI34" s="27" t="s">
        <v>202</v>
      </c>
      <c r="AR34" s="450"/>
      <c r="AS34" s="450"/>
      <c r="AT34" s="449" t="s">
        <v>509</v>
      </c>
      <c r="AU34" s="32" t="s">
        <v>510</v>
      </c>
      <c r="AV34" s="147"/>
    </row>
    <row r="35" spans="1:48" s="88" customFormat="1" ht="48.75" thickBot="1" x14ac:dyDescent="0.3">
      <c r="A35" s="450"/>
      <c r="B35" s="450"/>
      <c r="C35" s="23" t="s">
        <v>323</v>
      </c>
      <c r="D35" s="23" t="s">
        <v>205</v>
      </c>
      <c r="E35" s="23"/>
      <c r="G35" s="450"/>
      <c r="H35" s="450"/>
      <c r="I35" s="23" t="s">
        <v>323</v>
      </c>
      <c r="J35" s="23" t="s">
        <v>205</v>
      </c>
      <c r="K35" s="23"/>
      <c r="M35" s="450"/>
      <c r="N35" s="450"/>
      <c r="O35" s="23" t="s">
        <v>324</v>
      </c>
      <c r="P35" s="23" t="s">
        <v>205</v>
      </c>
      <c r="Q35" s="23"/>
      <c r="S35" s="450"/>
      <c r="T35" s="451"/>
      <c r="U35" s="23" t="s">
        <v>325</v>
      </c>
      <c r="V35" s="23" t="s">
        <v>326</v>
      </c>
      <c r="W35" s="23"/>
      <c r="Y35" s="450"/>
      <c r="Z35" s="449" t="s">
        <v>199</v>
      </c>
      <c r="AA35" s="27" t="s">
        <v>200</v>
      </c>
      <c r="AB35" s="27" t="s">
        <v>201</v>
      </c>
      <c r="AC35" s="27" t="s">
        <v>202</v>
      </c>
      <c r="AE35" s="450"/>
      <c r="AF35" s="450"/>
      <c r="AG35" s="23" t="s">
        <v>323</v>
      </c>
      <c r="AH35" s="27" t="s">
        <v>326</v>
      </c>
      <c r="AI35" s="27"/>
      <c r="AR35" s="450"/>
      <c r="AS35" s="451"/>
      <c r="AT35" s="451"/>
      <c r="AU35" s="23" t="s">
        <v>511</v>
      </c>
      <c r="AV35" s="147"/>
    </row>
    <row r="36" spans="1:48" s="88" customFormat="1" ht="48.75" thickBot="1" x14ac:dyDescent="0.3">
      <c r="A36" s="450"/>
      <c r="B36" s="451"/>
      <c r="C36" s="23" t="s">
        <v>284</v>
      </c>
      <c r="D36" s="23" t="s">
        <v>327</v>
      </c>
      <c r="E36" s="23" t="s">
        <v>328</v>
      </c>
      <c r="G36" s="450"/>
      <c r="H36" s="451"/>
      <c r="I36" s="23" t="s">
        <v>284</v>
      </c>
      <c r="J36" s="23" t="s">
        <v>329</v>
      </c>
      <c r="K36" s="23" t="s">
        <v>328</v>
      </c>
      <c r="M36" s="450"/>
      <c r="N36" s="451"/>
      <c r="O36" s="23" t="s">
        <v>330</v>
      </c>
      <c r="P36" s="23" t="s">
        <v>327</v>
      </c>
      <c r="Q36" s="23" t="s">
        <v>331</v>
      </c>
      <c r="S36" s="451"/>
      <c r="T36" s="23" t="s">
        <v>276</v>
      </c>
      <c r="U36" s="23" t="s">
        <v>332</v>
      </c>
      <c r="V36" s="23" t="s">
        <v>322</v>
      </c>
      <c r="W36" s="23" t="s">
        <v>332</v>
      </c>
      <c r="Y36" s="450"/>
      <c r="Z36" s="450"/>
      <c r="AA36" s="27" t="s">
        <v>325</v>
      </c>
      <c r="AB36" s="27" t="s">
        <v>326</v>
      </c>
      <c r="AC36" s="27"/>
      <c r="AE36" s="450"/>
      <c r="AF36" s="451"/>
      <c r="AG36" s="23" t="s">
        <v>284</v>
      </c>
      <c r="AH36" s="27" t="s">
        <v>329</v>
      </c>
      <c r="AI36" s="27" t="s">
        <v>328</v>
      </c>
      <c r="AR36" s="450"/>
      <c r="AS36" s="449" t="s">
        <v>199</v>
      </c>
      <c r="AT36" s="23" t="s">
        <v>200</v>
      </c>
      <c r="AU36" s="23" t="s">
        <v>512</v>
      </c>
      <c r="AV36" s="147"/>
    </row>
    <row r="37" spans="1:48" s="88" customFormat="1" ht="24.75" thickBot="1" x14ac:dyDescent="0.3">
      <c r="A37" s="451"/>
      <c r="B37" s="23" t="s">
        <v>276</v>
      </c>
      <c r="C37" s="23" t="s">
        <v>332</v>
      </c>
      <c r="D37" s="23" t="s">
        <v>322</v>
      </c>
      <c r="E37" s="23" t="s">
        <v>332</v>
      </c>
      <c r="G37" s="451"/>
      <c r="H37" s="23" t="s">
        <v>276</v>
      </c>
      <c r="I37" s="23" t="s">
        <v>332</v>
      </c>
      <c r="J37" s="23" t="s">
        <v>322</v>
      </c>
      <c r="K37" s="23" t="s">
        <v>332</v>
      </c>
      <c r="M37" s="451"/>
      <c r="N37" s="23" t="s">
        <v>276</v>
      </c>
      <c r="O37" s="23" t="s">
        <v>332</v>
      </c>
      <c r="P37" s="23" t="s">
        <v>333</v>
      </c>
      <c r="Q37" s="23" t="s">
        <v>332</v>
      </c>
      <c r="S37" s="449" t="s">
        <v>218</v>
      </c>
      <c r="T37" s="32" t="s">
        <v>219</v>
      </c>
      <c r="U37" s="23" t="s">
        <v>220</v>
      </c>
      <c r="V37" s="23" t="s">
        <v>221</v>
      </c>
      <c r="W37" s="23"/>
      <c r="Y37" s="450"/>
      <c r="Z37" s="451"/>
      <c r="AA37" s="27" t="s">
        <v>284</v>
      </c>
      <c r="AB37" s="27" t="s">
        <v>334</v>
      </c>
      <c r="AC37" s="27" t="s">
        <v>335</v>
      </c>
      <c r="AE37" s="451"/>
      <c r="AF37" s="23" t="s">
        <v>276</v>
      </c>
      <c r="AG37" s="23" t="s">
        <v>332</v>
      </c>
      <c r="AH37" s="27" t="s">
        <v>303</v>
      </c>
      <c r="AI37" s="27" t="s">
        <v>332</v>
      </c>
      <c r="AR37" s="450"/>
      <c r="AS37" s="451"/>
      <c r="AT37" s="23" t="s">
        <v>323</v>
      </c>
      <c r="AU37" s="23" t="s">
        <v>513</v>
      </c>
      <c r="AV37" s="148"/>
    </row>
    <row r="38" spans="1:48" s="88" customFormat="1" ht="60.75" thickBot="1" x14ac:dyDescent="0.3">
      <c r="A38" s="449" t="s">
        <v>218</v>
      </c>
      <c r="B38" s="23" t="s">
        <v>219</v>
      </c>
      <c r="C38" s="23" t="s">
        <v>336</v>
      </c>
      <c r="D38" s="23" t="s">
        <v>221</v>
      </c>
      <c r="E38" s="23"/>
      <c r="G38" s="449" t="s">
        <v>218</v>
      </c>
      <c r="H38" s="449" t="s">
        <v>219</v>
      </c>
      <c r="I38" s="23" t="s">
        <v>220</v>
      </c>
      <c r="J38" s="23" t="s">
        <v>221</v>
      </c>
      <c r="K38" s="23"/>
      <c r="M38" s="449" t="s">
        <v>218</v>
      </c>
      <c r="N38" s="23" t="s">
        <v>219</v>
      </c>
      <c r="O38" s="23" t="s">
        <v>220</v>
      </c>
      <c r="P38" s="23" t="s">
        <v>221</v>
      </c>
      <c r="Q38" s="23"/>
      <c r="S38" s="450"/>
      <c r="T38" s="449" t="s">
        <v>223</v>
      </c>
      <c r="U38" s="449" t="s">
        <v>224</v>
      </c>
      <c r="V38" s="456" t="s">
        <v>337</v>
      </c>
      <c r="W38" s="449" t="s">
        <v>338</v>
      </c>
      <c r="Y38" s="451"/>
      <c r="Z38" s="23" t="s">
        <v>276</v>
      </c>
      <c r="AA38" s="27" t="s">
        <v>332</v>
      </c>
      <c r="AB38" s="27" t="s">
        <v>339</v>
      </c>
      <c r="AC38" s="27" t="s">
        <v>332</v>
      </c>
      <c r="AE38" s="449" t="s">
        <v>218</v>
      </c>
      <c r="AF38" s="449" t="s">
        <v>219</v>
      </c>
      <c r="AG38" s="23" t="s">
        <v>220</v>
      </c>
      <c r="AH38" s="27" t="s">
        <v>221</v>
      </c>
      <c r="AI38" s="27" t="s">
        <v>340</v>
      </c>
      <c r="AR38" s="451"/>
      <c r="AS38" s="23" t="s">
        <v>276</v>
      </c>
      <c r="AT38" s="23" t="s">
        <v>514</v>
      </c>
      <c r="AU38" s="23" t="s">
        <v>515</v>
      </c>
      <c r="AV38" s="23" t="s">
        <v>516</v>
      </c>
    </row>
    <row r="39" spans="1:48" s="88" customFormat="1" ht="24.75" thickBot="1" x14ac:dyDescent="0.3">
      <c r="A39" s="450"/>
      <c r="B39" s="449" t="s">
        <v>223</v>
      </c>
      <c r="C39" s="449" t="s">
        <v>224</v>
      </c>
      <c r="D39" s="456" t="s">
        <v>337</v>
      </c>
      <c r="E39" s="449" t="s">
        <v>338</v>
      </c>
      <c r="G39" s="450"/>
      <c r="H39" s="458"/>
      <c r="I39" s="23" t="s">
        <v>341</v>
      </c>
      <c r="J39" s="23" t="s">
        <v>342</v>
      </c>
      <c r="K39" s="23"/>
      <c r="M39" s="450"/>
      <c r="N39" s="449" t="s">
        <v>223</v>
      </c>
      <c r="O39" s="449" t="s">
        <v>224</v>
      </c>
      <c r="P39" s="456" t="s">
        <v>337</v>
      </c>
      <c r="Q39" s="449" t="s">
        <v>343</v>
      </c>
      <c r="S39" s="450"/>
      <c r="T39" s="451"/>
      <c r="U39" s="451"/>
      <c r="V39" s="457"/>
      <c r="W39" s="451"/>
      <c r="Y39" s="449" t="s">
        <v>218</v>
      </c>
      <c r="Z39" s="449" t="s">
        <v>219</v>
      </c>
      <c r="AA39" s="23" t="s">
        <v>220</v>
      </c>
      <c r="AB39" s="27" t="s">
        <v>344</v>
      </c>
      <c r="AC39" s="23"/>
      <c r="AE39" s="450"/>
      <c r="AF39" s="458"/>
      <c r="AG39" s="23" t="s">
        <v>341</v>
      </c>
      <c r="AH39" s="37">
        <v>0</v>
      </c>
      <c r="AI39" s="23"/>
      <c r="AR39" s="449" t="s">
        <v>218</v>
      </c>
      <c r="AS39" s="449" t="s">
        <v>219</v>
      </c>
      <c r="AT39" s="449" t="s">
        <v>517</v>
      </c>
      <c r="AU39" s="32" t="s">
        <v>518</v>
      </c>
      <c r="AV39" s="454" t="s">
        <v>520</v>
      </c>
    </row>
    <row r="40" spans="1:48" s="88" customFormat="1" ht="84.75" thickBot="1" x14ac:dyDescent="0.3">
      <c r="A40" s="450"/>
      <c r="B40" s="451"/>
      <c r="C40" s="451"/>
      <c r="D40" s="457"/>
      <c r="E40" s="451"/>
      <c r="G40" s="450"/>
      <c r="H40" s="465" t="s">
        <v>223</v>
      </c>
      <c r="I40" s="449" t="s">
        <v>224</v>
      </c>
      <c r="J40" s="456" t="s">
        <v>337</v>
      </c>
      <c r="K40" s="449" t="s">
        <v>338</v>
      </c>
      <c r="M40" s="450"/>
      <c r="N40" s="451"/>
      <c r="O40" s="451"/>
      <c r="P40" s="457"/>
      <c r="Q40" s="451"/>
      <c r="S40" s="450"/>
      <c r="T40" s="23" t="s">
        <v>235</v>
      </c>
      <c r="U40" s="23" t="s">
        <v>236</v>
      </c>
      <c r="V40" s="23" t="s">
        <v>221</v>
      </c>
      <c r="W40" s="23" t="s">
        <v>345</v>
      </c>
      <c r="Y40" s="450"/>
      <c r="Z40" s="450"/>
      <c r="AA40" s="449" t="s">
        <v>346</v>
      </c>
      <c r="AB40" s="452" t="s">
        <v>347</v>
      </c>
      <c r="AC40" s="449"/>
      <c r="AE40" s="450"/>
      <c r="AF40" s="465" t="s">
        <v>223</v>
      </c>
      <c r="AG40" s="449" t="s">
        <v>224</v>
      </c>
      <c r="AH40" s="452" t="s">
        <v>337</v>
      </c>
      <c r="AI40" s="454" t="s">
        <v>348</v>
      </c>
      <c r="AR40" s="450"/>
      <c r="AS40" s="458"/>
      <c r="AT40" s="451"/>
      <c r="AU40" s="23" t="s">
        <v>519</v>
      </c>
      <c r="AV40" s="455"/>
    </row>
    <row r="41" spans="1:48" s="88" customFormat="1" ht="84.75" thickBot="1" x14ac:dyDescent="0.3">
      <c r="A41" s="450"/>
      <c r="B41" s="23" t="s">
        <v>235</v>
      </c>
      <c r="C41" s="23" t="s">
        <v>236</v>
      </c>
      <c r="D41" s="23" t="s">
        <v>221</v>
      </c>
      <c r="E41" s="23" t="s">
        <v>345</v>
      </c>
      <c r="G41" s="450"/>
      <c r="H41" s="451"/>
      <c r="I41" s="451"/>
      <c r="J41" s="457"/>
      <c r="K41" s="451"/>
      <c r="M41" s="450"/>
      <c r="N41" s="23" t="s">
        <v>235</v>
      </c>
      <c r="O41" s="23" t="s">
        <v>236</v>
      </c>
      <c r="P41" s="23" t="s">
        <v>221</v>
      </c>
      <c r="Q41" s="23" t="s">
        <v>349</v>
      </c>
      <c r="S41" s="450"/>
      <c r="T41" s="449" t="s">
        <v>250</v>
      </c>
      <c r="U41" s="23" t="s">
        <v>127</v>
      </c>
      <c r="V41" s="23" t="s">
        <v>350</v>
      </c>
      <c r="W41" s="23"/>
      <c r="Y41" s="450"/>
      <c r="Z41" s="458"/>
      <c r="AA41" s="451"/>
      <c r="AB41" s="453"/>
      <c r="AC41" s="451"/>
      <c r="AE41" s="450"/>
      <c r="AF41" s="451"/>
      <c r="AG41" s="451"/>
      <c r="AH41" s="453"/>
      <c r="AI41" s="455"/>
      <c r="AR41" s="450"/>
      <c r="AS41" s="465" t="s">
        <v>223</v>
      </c>
      <c r="AT41" s="449" t="s">
        <v>224</v>
      </c>
      <c r="AU41" s="150" t="s">
        <v>521</v>
      </c>
      <c r="AV41" s="454" t="s">
        <v>522</v>
      </c>
    </row>
    <row r="42" spans="1:48" s="88" customFormat="1" ht="84.75" thickBot="1" x14ac:dyDescent="0.3">
      <c r="A42" s="450"/>
      <c r="B42" s="449" t="s">
        <v>250</v>
      </c>
      <c r="C42" s="23" t="s">
        <v>127</v>
      </c>
      <c r="D42" s="23" t="s">
        <v>251</v>
      </c>
      <c r="E42" s="23" t="s">
        <v>349</v>
      </c>
      <c r="G42" s="450"/>
      <c r="H42" s="23" t="s">
        <v>235</v>
      </c>
      <c r="I42" s="23" t="s">
        <v>236</v>
      </c>
      <c r="J42" s="23" t="s">
        <v>221</v>
      </c>
      <c r="K42" s="23" t="s">
        <v>345</v>
      </c>
      <c r="M42" s="450"/>
      <c r="N42" s="449" t="s">
        <v>250</v>
      </c>
      <c r="O42" s="23" t="s">
        <v>115</v>
      </c>
      <c r="P42" s="23" t="s">
        <v>351</v>
      </c>
      <c r="Q42" s="23" t="s">
        <v>349</v>
      </c>
      <c r="S42" s="450"/>
      <c r="T42" s="450"/>
      <c r="U42" s="23" t="s">
        <v>123</v>
      </c>
      <c r="V42" s="23" t="s">
        <v>352</v>
      </c>
      <c r="W42" s="23"/>
      <c r="Y42" s="450"/>
      <c r="Z42" s="465" t="s">
        <v>223</v>
      </c>
      <c r="AA42" s="449" t="s">
        <v>224</v>
      </c>
      <c r="AB42" s="452" t="s">
        <v>337</v>
      </c>
      <c r="AC42" s="454" t="s">
        <v>348</v>
      </c>
      <c r="AE42" s="450"/>
      <c r="AF42" s="23" t="s">
        <v>235</v>
      </c>
      <c r="AG42" s="23" t="s">
        <v>236</v>
      </c>
      <c r="AH42" s="27" t="s">
        <v>221</v>
      </c>
      <c r="AI42" s="27" t="s">
        <v>345</v>
      </c>
      <c r="AR42" s="450"/>
      <c r="AS42" s="450"/>
      <c r="AT42" s="450"/>
      <c r="AU42" s="150" t="s">
        <v>375</v>
      </c>
      <c r="AV42" s="475"/>
    </row>
    <row r="43" spans="1:48" s="88" customFormat="1" ht="15.75" thickBot="1" x14ac:dyDescent="0.3">
      <c r="A43" s="450"/>
      <c r="B43" s="450"/>
      <c r="C43" s="23" t="s">
        <v>123</v>
      </c>
      <c r="D43" s="23" t="s">
        <v>264</v>
      </c>
      <c r="E43" s="23" t="s">
        <v>349</v>
      </c>
      <c r="G43" s="450"/>
      <c r="H43" s="449" t="s">
        <v>250</v>
      </c>
      <c r="I43" s="23" t="s">
        <v>127</v>
      </c>
      <c r="J43" s="23" t="s">
        <v>350</v>
      </c>
      <c r="K43" s="23"/>
      <c r="M43" s="450"/>
      <c r="N43" s="450"/>
      <c r="O43" s="23" t="s">
        <v>123</v>
      </c>
      <c r="P43" s="23" t="s">
        <v>252</v>
      </c>
      <c r="Q43" s="23" t="s">
        <v>349</v>
      </c>
      <c r="S43" s="450"/>
      <c r="T43" s="450"/>
      <c r="U43" s="23" t="s">
        <v>132</v>
      </c>
      <c r="V43" s="23" t="s">
        <v>353</v>
      </c>
      <c r="W43" s="23"/>
      <c r="Y43" s="450"/>
      <c r="Z43" s="451"/>
      <c r="AA43" s="451"/>
      <c r="AB43" s="453"/>
      <c r="AC43" s="455"/>
      <c r="AE43" s="450"/>
      <c r="AF43" s="449" t="s">
        <v>250</v>
      </c>
      <c r="AG43" s="23" t="s">
        <v>127</v>
      </c>
      <c r="AH43" s="27" t="s">
        <v>350</v>
      </c>
      <c r="AI43" s="36"/>
      <c r="AR43" s="450"/>
      <c r="AS43" s="450"/>
      <c r="AT43" s="450"/>
      <c r="AU43" s="147"/>
      <c r="AV43" s="475"/>
    </row>
    <row r="44" spans="1:48" s="88" customFormat="1" ht="168.75" thickBot="1" x14ac:dyDescent="0.3">
      <c r="A44" s="450"/>
      <c r="B44" s="450"/>
      <c r="C44" s="23" t="s">
        <v>132</v>
      </c>
      <c r="D44" s="23" t="s">
        <v>274</v>
      </c>
      <c r="E44" s="23"/>
      <c r="G44" s="450"/>
      <c r="H44" s="450"/>
      <c r="I44" s="23" t="s">
        <v>123</v>
      </c>
      <c r="J44" s="23" t="s">
        <v>354</v>
      </c>
      <c r="K44" s="23"/>
      <c r="M44" s="450"/>
      <c r="N44" s="450"/>
      <c r="O44" s="23" t="s">
        <v>132</v>
      </c>
      <c r="P44" s="23" t="s">
        <v>355</v>
      </c>
      <c r="Q44" s="23" t="s">
        <v>356</v>
      </c>
      <c r="S44" s="450"/>
      <c r="T44" s="451"/>
      <c r="U44" s="23" t="s">
        <v>357</v>
      </c>
      <c r="V44" s="23" t="s">
        <v>354</v>
      </c>
      <c r="W44" s="23"/>
      <c r="Y44" s="450"/>
      <c r="Z44" s="23" t="s">
        <v>235</v>
      </c>
      <c r="AA44" s="23" t="s">
        <v>236</v>
      </c>
      <c r="AB44" s="27" t="s">
        <v>344</v>
      </c>
      <c r="AC44" s="27"/>
      <c r="AE44" s="450"/>
      <c r="AF44" s="450"/>
      <c r="AG44" s="23" t="s">
        <v>123</v>
      </c>
      <c r="AH44" s="27" t="s">
        <v>350</v>
      </c>
      <c r="AI44" s="36"/>
      <c r="AR44" s="450"/>
      <c r="AS44" s="450"/>
      <c r="AT44" s="450"/>
      <c r="AU44" s="147"/>
      <c r="AV44" s="475"/>
    </row>
    <row r="45" spans="1:48" s="88" customFormat="1" ht="48.75" thickBot="1" x14ac:dyDescent="0.3">
      <c r="A45" s="450"/>
      <c r="B45" s="451"/>
      <c r="C45" s="23" t="s">
        <v>284</v>
      </c>
      <c r="D45" s="23" t="s">
        <v>285</v>
      </c>
      <c r="E45" s="23"/>
      <c r="G45" s="450"/>
      <c r="H45" s="450"/>
      <c r="I45" s="23" t="s">
        <v>132</v>
      </c>
      <c r="J45" s="23" t="s">
        <v>358</v>
      </c>
      <c r="K45" s="23"/>
      <c r="M45" s="450"/>
      <c r="N45" s="451"/>
      <c r="O45" s="23" t="s">
        <v>359</v>
      </c>
      <c r="P45" s="23" t="s">
        <v>350</v>
      </c>
      <c r="Q45" s="23"/>
      <c r="S45" s="450"/>
      <c r="T45" s="23" t="s">
        <v>299</v>
      </c>
      <c r="U45" s="23" t="s">
        <v>300</v>
      </c>
      <c r="V45" s="23" t="s">
        <v>301</v>
      </c>
      <c r="W45" s="23" t="s">
        <v>300</v>
      </c>
      <c r="Y45" s="450"/>
      <c r="Z45" s="449" t="s">
        <v>250</v>
      </c>
      <c r="AA45" s="23" t="s">
        <v>127</v>
      </c>
      <c r="AB45" s="27" t="s">
        <v>350</v>
      </c>
      <c r="AC45" s="36"/>
      <c r="AE45" s="450"/>
      <c r="AF45" s="450"/>
      <c r="AG45" s="23" t="s">
        <v>132</v>
      </c>
      <c r="AH45" s="27" t="s">
        <v>360</v>
      </c>
      <c r="AI45" s="36"/>
      <c r="AR45" s="450"/>
      <c r="AS45" s="451"/>
      <c r="AT45" s="451"/>
      <c r="AU45" s="148"/>
      <c r="AV45" s="455"/>
    </row>
    <row r="46" spans="1:48" s="88" customFormat="1" ht="48.75" thickBot="1" x14ac:dyDescent="0.3">
      <c r="A46" s="450"/>
      <c r="B46" s="23" t="s">
        <v>299</v>
      </c>
      <c r="C46" s="23" t="s">
        <v>300</v>
      </c>
      <c r="D46" s="23" t="s">
        <v>301</v>
      </c>
      <c r="E46" s="23" t="s">
        <v>300</v>
      </c>
      <c r="G46" s="450"/>
      <c r="H46" s="451"/>
      <c r="I46" s="23" t="s">
        <v>284</v>
      </c>
      <c r="J46" s="23" t="s">
        <v>361</v>
      </c>
      <c r="K46" s="23"/>
      <c r="M46" s="450"/>
      <c r="N46" s="23" t="s">
        <v>299</v>
      </c>
      <c r="O46" s="23" t="s">
        <v>300</v>
      </c>
      <c r="P46" s="23" t="s">
        <v>352</v>
      </c>
      <c r="Q46" s="23" t="s">
        <v>300</v>
      </c>
      <c r="S46" s="450"/>
      <c r="T46" s="449" t="s">
        <v>306</v>
      </c>
      <c r="U46" s="449" t="s">
        <v>307</v>
      </c>
      <c r="V46" s="456" t="s">
        <v>362</v>
      </c>
      <c r="W46" s="449"/>
      <c r="Y46" s="450"/>
      <c r="Z46" s="450"/>
      <c r="AA46" s="23" t="s">
        <v>123</v>
      </c>
      <c r="AB46" s="27" t="s">
        <v>251</v>
      </c>
      <c r="AC46" s="36"/>
      <c r="AE46" s="450"/>
      <c r="AF46" s="451"/>
      <c r="AG46" s="23" t="s">
        <v>363</v>
      </c>
      <c r="AH46" s="27" t="s">
        <v>285</v>
      </c>
      <c r="AI46" s="36"/>
      <c r="AR46" s="450"/>
      <c r="AS46" s="449" t="s">
        <v>235</v>
      </c>
      <c r="AT46" s="449" t="s">
        <v>523</v>
      </c>
      <c r="AU46" s="32" t="s">
        <v>524</v>
      </c>
      <c r="AV46" s="449" t="s">
        <v>345</v>
      </c>
    </row>
    <row r="47" spans="1:48" s="88" customFormat="1" ht="48.75" thickBot="1" x14ac:dyDescent="0.3">
      <c r="A47" s="450"/>
      <c r="B47" s="449" t="s">
        <v>306</v>
      </c>
      <c r="C47" s="449" t="s">
        <v>307</v>
      </c>
      <c r="D47" s="456" t="s">
        <v>308</v>
      </c>
      <c r="E47" s="449"/>
      <c r="G47" s="450"/>
      <c r="H47" s="23" t="s">
        <v>299</v>
      </c>
      <c r="I47" s="23" t="s">
        <v>300</v>
      </c>
      <c r="J47" s="23" t="s">
        <v>364</v>
      </c>
      <c r="K47" s="23" t="s">
        <v>300</v>
      </c>
      <c r="M47" s="450"/>
      <c r="N47" s="449" t="s">
        <v>306</v>
      </c>
      <c r="O47" s="449" t="s">
        <v>307</v>
      </c>
      <c r="P47" s="456" t="s">
        <v>365</v>
      </c>
      <c r="Q47" s="449" t="s">
        <v>366</v>
      </c>
      <c r="S47" s="451"/>
      <c r="T47" s="451"/>
      <c r="U47" s="451"/>
      <c r="V47" s="457"/>
      <c r="W47" s="451"/>
      <c r="Y47" s="450"/>
      <c r="Z47" s="450"/>
      <c r="AA47" s="23" t="s">
        <v>132</v>
      </c>
      <c r="AB47" s="27" t="s">
        <v>264</v>
      </c>
      <c r="AC47" s="36"/>
      <c r="AE47" s="450"/>
      <c r="AF47" s="23" t="s">
        <v>299</v>
      </c>
      <c r="AG47" s="23" t="s">
        <v>300</v>
      </c>
      <c r="AH47" s="27" t="s">
        <v>301</v>
      </c>
      <c r="AI47" s="27" t="s">
        <v>300</v>
      </c>
      <c r="AR47" s="450"/>
      <c r="AS47" s="451"/>
      <c r="AT47" s="451"/>
      <c r="AU47" s="23" t="s">
        <v>525</v>
      </c>
      <c r="AV47" s="451"/>
    </row>
    <row r="48" spans="1:48" s="88" customFormat="1" ht="24.75" thickBot="1" x14ac:dyDescent="0.3">
      <c r="A48" s="451"/>
      <c r="B48" s="451"/>
      <c r="C48" s="451"/>
      <c r="D48" s="457"/>
      <c r="E48" s="451"/>
      <c r="G48" s="450"/>
      <c r="H48" s="449" t="s">
        <v>306</v>
      </c>
      <c r="I48" s="449" t="s">
        <v>307</v>
      </c>
      <c r="J48" s="456" t="s">
        <v>367</v>
      </c>
      <c r="K48" s="449"/>
      <c r="M48" s="451"/>
      <c r="N48" s="451"/>
      <c r="O48" s="451"/>
      <c r="P48" s="457"/>
      <c r="Q48" s="451"/>
      <c r="S48" s="449" t="s">
        <v>368</v>
      </c>
      <c r="T48" s="449" t="s">
        <v>369</v>
      </c>
      <c r="U48" s="449" t="s">
        <v>370</v>
      </c>
      <c r="V48" s="456" t="s">
        <v>371</v>
      </c>
      <c r="W48" s="449" t="s">
        <v>372</v>
      </c>
      <c r="Y48" s="450"/>
      <c r="Z48" s="451"/>
      <c r="AA48" s="23" t="s">
        <v>363</v>
      </c>
      <c r="AB48" s="27" t="s">
        <v>264</v>
      </c>
      <c r="AC48" s="36"/>
      <c r="AE48" s="450"/>
      <c r="AF48" s="449" t="s">
        <v>306</v>
      </c>
      <c r="AG48" s="449" t="s">
        <v>307</v>
      </c>
      <c r="AH48" s="452" t="s">
        <v>308</v>
      </c>
      <c r="AI48" s="454"/>
      <c r="AR48" s="450"/>
      <c r="AS48" s="449" t="s">
        <v>250</v>
      </c>
      <c r="AT48" s="23" t="s">
        <v>127</v>
      </c>
      <c r="AU48" s="23" t="s">
        <v>350</v>
      </c>
      <c r="AV48" s="449" t="s">
        <v>526</v>
      </c>
    </row>
    <row r="49" spans="1:48" s="88" customFormat="1" ht="36.75" thickBot="1" x14ac:dyDescent="0.3">
      <c r="A49" s="449" t="s">
        <v>368</v>
      </c>
      <c r="B49" s="449" t="s">
        <v>369</v>
      </c>
      <c r="C49" s="449" t="s">
        <v>370</v>
      </c>
      <c r="D49" s="456" t="s">
        <v>371</v>
      </c>
      <c r="E49" s="449"/>
      <c r="G49" s="451"/>
      <c r="H49" s="451"/>
      <c r="I49" s="451"/>
      <c r="J49" s="457"/>
      <c r="K49" s="451"/>
      <c r="M49" s="449" t="s">
        <v>368</v>
      </c>
      <c r="N49" s="449" t="s">
        <v>369</v>
      </c>
      <c r="O49" s="449" t="s">
        <v>370</v>
      </c>
      <c r="P49" s="456" t="s">
        <v>371</v>
      </c>
      <c r="Q49" s="449" t="s">
        <v>372</v>
      </c>
      <c r="S49" s="450"/>
      <c r="T49" s="451"/>
      <c r="U49" s="451"/>
      <c r="V49" s="457"/>
      <c r="W49" s="451"/>
      <c r="Y49" s="450"/>
      <c r="Z49" s="23" t="s">
        <v>299</v>
      </c>
      <c r="AA49" s="23" t="s">
        <v>300</v>
      </c>
      <c r="AB49" s="27" t="s">
        <v>364</v>
      </c>
      <c r="AC49" s="27" t="s">
        <v>300</v>
      </c>
      <c r="AE49" s="451"/>
      <c r="AF49" s="451"/>
      <c r="AG49" s="451"/>
      <c r="AH49" s="453"/>
      <c r="AI49" s="455"/>
      <c r="AR49" s="450"/>
      <c r="AS49" s="450"/>
      <c r="AT49" s="23" t="s">
        <v>123</v>
      </c>
      <c r="AU49" s="23" t="s">
        <v>350</v>
      </c>
      <c r="AV49" s="450"/>
    </row>
    <row r="50" spans="1:48" s="88" customFormat="1" ht="24.75" thickBot="1" x14ac:dyDescent="0.3">
      <c r="A50" s="450"/>
      <c r="B50" s="451"/>
      <c r="C50" s="451"/>
      <c r="D50" s="457"/>
      <c r="E50" s="451"/>
      <c r="G50" s="449" t="s">
        <v>368</v>
      </c>
      <c r="H50" s="449" t="s">
        <v>369</v>
      </c>
      <c r="I50" s="449" t="s">
        <v>370</v>
      </c>
      <c r="J50" s="456" t="s">
        <v>371</v>
      </c>
      <c r="K50" s="449" t="s">
        <v>372</v>
      </c>
      <c r="M50" s="450"/>
      <c r="N50" s="451"/>
      <c r="O50" s="451"/>
      <c r="P50" s="457"/>
      <c r="Q50" s="451"/>
      <c r="S50" s="451"/>
      <c r="T50" s="23" t="s">
        <v>373</v>
      </c>
      <c r="U50" s="23" t="s">
        <v>374</v>
      </c>
      <c r="V50" s="23" t="s">
        <v>375</v>
      </c>
      <c r="W50" s="23" t="s">
        <v>374</v>
      </c>
      <c r="Y50" s="450"/>
      <c r="Z50" s="449" t="s">
        <v>306</v>
      </c>
      <c r="AA50" s="449" t="s">
        <v>307</v>
      </c>
      <c r="AB50" s="452" t="s">
        <v>367</v>
      </c>
      <c r="AC50" s="449"/>
      <c r="AE50" s="449" t="s">
        <v>368</v>
      </c>
      <c r="AF50" s="449" t="s">
        <v>369</v>
      </c>
      <c r="AG50" s="449" t="s">
        <v>370</v>
      </c>
      <c r="AH50" s="452" t="s">
        <v>371</v>
      </c>
      <c r="AI50" s="454" t="s">
        <v>372</v>
      </c>
      <c r="AR50" s="450"/>
      <c r="AS50" s="450"/>
      <c r="AT50" s="23" t="s">
        <v>132</v>
      </c>
      <c r="AU50" s="23" t="s">
        <v>350</v>
      </c>
      <c r="AV50" s="450"/>
    </row>
    <row r="51" spans="1:48" s="88" customFormat="1" ht="24.75" thickBot="1" x14ac:dyDescent="0.3">
      <c r="A51" s="451"/>
      <c r="B51" s="23" t="s">
        <v>373</v>
      </c>
      <c r="C51" s="23" t="s">
        <v>374</v>
      </c>
      <c r="D51" s="23" t="s">
        <v>375</v>
      </c>
      <c r="E51" s="23" t="s">
        <v>374</v>
      </c>
      <c r="G51" s="450"/>
      <c r="H51" s="451"/>
      <c r="I51" s="451"/>
      <c r="J51" s="457"/>
      <c r="K51" s="451"/>
      <c r="M51" s="451"/>
      <c r="N51" s="23" t="s">
        <v>373</v>
      </c>
      <c r="O51" s="23" t="s">
        <v>374</v>
      </c>
      <c r="P51" s="23" t="s">
        <v>375</v>
      </c>
      <c r="Q51" s="23" t="s">
        <v>374</v>
      </c>
      <c r="S51" s="449" t="s">
        <v>376</v>
      </c>
      <c r="T51" s="23" t="s">
        <v>377</v>
      </c>
      <c r="U51" s="23" t="s">
        <v>378</v>
      </c>
      <c r="V51" s="23"/>
      <c r="W51" s="23" t="s">
        <v>379</v>
      </c>
      <c r="Y51" s="451"/>
      <c r="Z51" s="451"/>
      <c r="AA51" s="451"/>
      <c r="AB51" s="453"/>
      <c r="AC51" s="451"/>
      <c r="AE51" s="450"/>
      <c r="AF51" s="451"/>
      <c r="AG51" s="451"/>
      <c r="AH51" s="453"/>
      <c r="AI51" s="455"/>
      <c r="AR51" s="450"/>
      <c r="AS51" s="450"/>
      <c r="AT51" s="23" t="s">
        <v>527</v>
      </c>
      <c r="AU51" s="23" t="s">
        <v>528</v>
      </c>
      <c r="AV51" s="450"/>
    </row>
    <row r="52" spans="1:48" s="88" customFormat="1" ht="36.75" thickBot="1" x14ac:dyDescent="0.3">
      <c r="A52" s="449" t="s">
        <v>376</v>
      </c>
      <c r="B52" s="23" t="s">
        <v>377</v>
      </c>
      <c r="C52" s="23" t="s">
        <v>378</v>
      </c>
      <c r="D52" s="23"/>
      <c r="E52" s="23" t="s">
        <v>379</v>
      </c>
      <c r="G52" s="451"/>
      <c r="H52" s="23" t="s">
        <v>373</v>
      </c>
      <c r="I52" s="23" t="s">
        <v>374</v>
      </c>
      <c r="J52" s="23" t="s">
        <v>375</v>
      </c>
      <c r="K52" s="23" t="s">
        <v>374</v>
      </c>
      <c r="M52" s="449" t="s">
        <v>376</v>
      </c>
      <c r="N52" s="23" t="s">
        <v>377</v>
      </c>
      <c r="O52" s="23" t="s">
        <v>378</v>
      </c>
      <c r="P52" s="23"/>
      <c r="Q52" s="23" t="s">
        <v>379</v>
      </c>
      <c r="S52" s="451"/>
      <c r="T52" s="23" t="s">
        <v>380</v>
      </c>
      <c r="U52" s="23" t="s">
        <v>381</v>
      </c>
      <c r="V52" s="38">
        <v>0</v>
      </c>
      <c r="W52" s="23" t="s">
        <v>382</v>
      </c>
      <c r="Y52" s="449" t="s">
        <v>368</v>
      </c>
      <c r="Z52" s="23" t="s">
        <v>369</v>
      </c>
      <c r="AA52" s="27" t="s">
        <v>383</v>
      </c>
      <c r="AB52" s="27" t="s">
        <v>375</v>
      </c>
      <c r="AC52" s="27" t="s">
        <v>384</v>
      </c>
      <c r="AE52" s="451"/>
      <c r="AF52" s="23" t="s">
        <v>373</v>
      </c>
      <c r="AG52" s="23" t="s">
        <v>374</v>
      </c>
      <c r="AH52" s="27" t="s">
        <v>375</v>
      </c>
      <c r="AI52" s="27" t="s">
        <v>374</v>
      </c>
      <c r="AR52" s="450"/>
      <c r="AS52" s="451"/>
      <c r="AT52" s="23" t="s">
        <v>529</v>
      </c>
      <c r="AU52" s="23" t="s">
        <v>350</v>
      </c>
      <c r="AV52" s="451"/>
    </row>
    <row r="53" spans="1:48" s="88" customFormat="1" ht="36.75" thickBot="1" x14ac:dyDescent="0.3">
      <c r="A53" s="451"/>
      <c r="B53" s="23" t="s">
        <v>380</v>
      </c>
      <c r="C53" s="23" t="s">
        <v>381</v>
      </c>
      <c r="D53" s="38">
        <v>0</v>
      </c>
      <c r="E53" s="23" t="s">
        <v>382</v>
      </c>
      <c r="G53" s="449" t="s">
        <v>376</v>
      </c>
      <c r="H53" s="23" t="s">
        <v>377</v>
      </c>
      <c r="I53" s="23" t="s">
        <v>378</v>
      </c>
      <c r="J53" s="23"/>
      <c r="K53" s="23" t="s">
        <v>379</v>
      </c>
      <c r="M53" s="451"/>
      <c r="N53" s="23" t="s">
        <v>380</v>
      </c>
      <c r="O53" s="23" t="s">
        <v>381</v>
      </c>
      <c r="P53" s="38">
        <v>0</v>
      </c>
      <c r="Q53" s="23" t="s">
        <v>382</v>
      </c>
      <c r="Y53" s="451"/>
      <c r="Z53" s="23" t="s">
        <v>373</v>
      </c>
      <c r="AA53" s="27" t="s">
        <v>125</v>
      </c>
      <c r="AB53" s="27" t="s">
        <v>375</v>
      </c>
      <c r="AC53" s="23"/>
      <c r="AE53" s="449" t="s">
        <v>376</v>
      </c>
      <c r="AF53" s="23" t="s">
        <v>377</v>
      </c>
      <c r="AG53" s="23" t="s">
        <v>378</v>
      </c>
      <c r="AH53" s="27"/>
      <c r="AI53" s="27" t="s">
        <v>379</v>
      </c>
      <c r="AR53" s="450"/>
      <c r="AS53" s="449" t="s">
        <v>299</v>
      </c>
      <c r="AT53" s="449" t="s">
        <v>300</v>
      </c>
      <c r="AU53" s="449" t="s">
        <v>350</v>
      </c>
      <c r="AV53" s="454" t="s">
        <v>530</v>
      </c>
    </row>
    <row r="54" spans="1:48" s="88" customFormat="1" ht="36.75" thickBot="1" x14ac:dyDescent="0.3">
      <c r="G54" s="451"/>
      <c r="H54" s="23" t="s">
        <v>380</v>
      </c>
      <c r="I54" s="23" t="s">
        <v>381</v>
      </c>
      <c r="J54" s="38">
        <v>0</v>
      </c>
      <c r="K54" s="23" t="s">
        <v>382</v>
      </c>
      <c r="Y54" s="449" t="s">
        <v>376</v>
      </c>
      <c r="Z54" s="468" t="s">
        <v>377</v>
      </c>
      <c r="AA54" s="27" t="s">
        <v>378</v>
      </c>
      <c r="AB54" s="27" t="s">
        <v>385</v>
      </c>
      <c r="AC54" s="27"/>
      <c r="AE54" s="451"/>
      <c r="AF54" s="23" t="s">
        <v>380</v>
      </c>
      <c r="AG54" s="23" t="s">
        <v>381</v>
      </c>
      <c r="AH54" s="30">
        <v>0</v>
      </c>
      <c r="AI54" s="27" t="s">
        <v>382</v>
      </c>
      <c r="AR54" s="450"/>
      <c r="AS54" s="451"/>
      <c r="AT54" s="451"/>
      <c r="AU54" s="451"/>
      <c r="AV54" s="455"/>
    </row>
    <row r="55" spans="1:48" s="88" customFormat="1" ht="36.75" thickBot="1" x14ac:dyDescent="0.3">
      <c r="Y55" s="450"/>
      <c r="Z55" s="469"/>
      <c r="AA55" s="27" t="s">
        <v>386</v>
      </c>
      <c r="AB55" s="27" t="s">
        <v>387</v>
      </c>
      <c r="AC55" s="27" t="s">
        <v>388</v>
      </c>
      <c r="AR55" s="450"/>
      <c r="AS55" s="449" t="s">
        <v>306</v>
      </c>
      <c r="AT55" s="449" t="s">
        <v>307</v>
      </c>
      <c r="AU55" s="449" t="s">
        <v>350</v>
      </c>
      <c r="AV55" s="454" t="s">
        <v>530</v>
      </c>
    </row>
    <row r="56" spans="1:48" s="88" customFormat="1" ht="15.75" thickBot="1" x14ac:dyDescent="0.3">
      <c r="Y56" s="451"/>
      <c r="Z56" s="23" t="s">
        <v>380</v>
      </c>
      <c r="AA56" s="27" t="s">
        <v>381</v>
      </c>
      <c r="AB56" s="28">
        <v>0</v>
      </c>
      <c r="AC56" s="27"/>
      <c r="AR56" s="450"/>
      <c r="AS56" s="451"/>
      <c r="AT56" s="451"/>
      <c r="AU56" s="451"/>
      <c r="AV56" s="455"/>
    </row>
    <row r="57" spans="1:48" s="88" customFormat="1" ht="24" x14ac:dyDescent="0.25">
      <c r="AR57" s="450"/>
      <c r="AS57" s="449" t="s">
        <v>369</v>
      </c>
      <c r="AT57" s="449" t="s">
        <v>531</v>
      </c>
      <c r="AU57" s="32" t="s">
        <v>532</v>
      </c>
      <c r="AV57" s="476"/>
    </row>
    <row r="58" spans="1:48" s="88" customFormat="1" x14ac:dyDescent="0.25">
      <c r="AR58" s="450"/>
      <c r="AS58" s="450"/>
      <c r="AT58" s="450"/>
      <c r="AU58" s="32"/>
      <c r="AV58" s="477"/>
    </row>
    <row r="59" spans="1:48" ht="36" x14ac:dyDescent="0.25">
      <c r="AR59" s="450"/>
      <c r="AS59" s="450"/>
      <c r="AT59" s="450"/>
      <c r="AU59" s="32" t="s">
        <v>533</v>
      </c>
      <c r="AV59" s="477"/>
    </row>
    <row r="60" spans="1:48" ht="15.75" thickBot="1" x14ac:dyDescent="0.3">
      <c r="AR60" s="450"/>
      <c r="AS60" s="450"/>
      <c r="AT60" s="451"/>
      <c r="AU60" s="23" t="s">
        <v>375</v>
      </c>
      <c r="AV60" s="478"/>
    </row>
    <row r="61" spans="1:48" ht="15.75" thickBot="1" x14ac:dyDescent="0.3">
      <c r="AR61" s="450"/>
      <c r="AS61" s="451"/>
      <c r="AT61" s="23" t="s">
        <v>534</v>
      </c>
      <c r="AU61" s="23" t="s">
        <v>350</v>
      </c>
      <c r="AV61" s="23" t="s">
        <v>535</v>
      </c>
    </row>
    <row r="62" spans="1:48" ht="15.75" thickBot="1" x14ac:dyDescent="0.3">
      <c r="AR62" s="451"/>
      <c r="AS62" s="23" t="s">
        <v>373</v>
      </c>
      <c r="AT62" s="23" t="s">
        <v>374</v>
      </c>
      <c r="AU62" s="151" t="s">
        <v>375</v>
      </c>
      <c r="AV62" s="23" t="s">
        <v>374</v>
      </c>
    </row>
    <row r="63" spans="1:48" ht="15.75" thickBot="1" x14ac:dyDescent="0.3">
      <c r="AR63" s="449" t="s">
        <v>376</v>
      </c>
      <c r="AS63" s="23" t="s">
        <v>377</v>
      </c>
      <c r="AT63" s="23" t="s">
        <v>378</v>
      </c>
      <c r="AU63" s="149">
        <v>0</v>
      </c>
      <c r="AV63" s="31" t="s">
        <v>536</v>
      </c>
    </row>
    <row r="64" spans="1:48" ht="24.75" customHeight="1" thickBot="1" x14ac:dyDescent="0.3">
      <c r="AR64" s="451"/>
      <c r="AS64" s="23" t="s">
        <v>380</v>
      </c>
      <c r="AT64" s="23" t="s">
        <v>381</v>
      </c>
      <c r="AU64" s="149">
        <v>0</v>
      </c>
      <c r="AV64" s="31" t="s">
        <v>537</v>
      </c>
    </row>
  </sheetData>
  <sheetProtection algorithmName="SHA-512" hashValue="aEYIFY4tCMkzmNUsXiqqleow5NlVXwkF1KOMadkUlleTAZXVelxPn7Dou0lqsd83gK3xztY1rP1auCVi/Zhqyg==" saltValue="7gZed2SE0m4wh9KOVdkKpA==" spinCount="100000" sheet="1" objects="1" scenarios="1"/>
  <mergeCells count="325">
    <mergeCell ref="AX11:AY12"/>
    <mergeCell ref="AX13:BF17"/>
    <mergeCell ref="BH11:BI12"/>
    <mergeCell ref="BH13:BP17"/>
    <mergeCell ref="AR63:AR64"/>
    <mergeCell ref="AU53:AU54"/>
    <mergeCell ref="AV53:AV54"/>
    <mergeCell ref="AS55:AS56"/>
    <mergeCell ref="AT55:AT56"/>
    <mergeCell ref="AU55:AU56"/>
    <mergeCell ref="AV55:AV56"/>
    <mergeCell ref="AS57:AS61"/>
    <mergeCell ref="AT57:AT60"/>
    <mergeCell ref="AV57:AV60"/>
    <mergeCell ref="AV39:AV40"/>
    <mergeCell ref="AS41:AS45"/>
    <mergeCell ref="AT41:AT45"/>
    <mergeCell ref="AV41:AV45"/>
    <mergeCell ref="AS46:AS47"/>
    <mergeCell ref="AT46:AT47"/>
    <mergeCell ref="AV46:AV47"/>
    <mergeCell ref="AS48:AS52"/>
    <mergeCell ref="AV48:AV52"/>
    <mergeCell ref="AR31:AR38"/>
    <mergeCell ref="AS32:AS35"/>
    <mergeCell ref="AT32:AT33"/>
    <mergeCell ref="AT34:AT35"/>
    <mergeCell ref="AS36:AS37"/>
    <mergeCell ref="AR39:AR62"/>
    <mergeCell ref="AS39:AS40"/>
    <mergeCell ref="AT39:AT40"/>
    <mergeCell ref="AS53:AS54"/>
    <mergeCell ref="AT53:AT54"/>
    <mergeCell ref="AR20:AR30"/>
    <mergeCell ref="AS20:AS23"/>
    <mergeCell ref="AT20:AT21"/>
    <mergeCell ref="AU20:AU21"/>
    <mergeCell ref="AT22:AT23"/>
    <mergeCell ref="AU22:AU23"/>
    <mergeCell ref="AS24:AS25"/>
    <mergeCell ref="AT24:AT25"/>
    <mergeCell ref="AU24:AU25"/>
    <mergeCell ref="AS28:AS29"/>
    <mergeCell ref="AR11:AS12"/>
    <mergeCell ref="AT11:AU11"/>
    <mergeCell ref="AV11:AV12"/>
    <mergeCell ref="AR13:AR19"/>
    <mergeCell ref="AS13:AS17"/>
    <mergeCell ref="AT13:AT16"/>
    <mergeCell ref="AU13:AU16"/>
    <mergeCell ref="AS18:AS19"/>
    <mergeCell ref="AF50:AF51"/>
    <mergeCell ref="AG50:AG51"/>
    <mergeCell ref="AH50:AH51"/>
    <mergeCell ref="AI50:AI51"/>
    <mergeCell ref="AG48:AG49"/>
    <mergeCell ref="AH48:AH49"/>
    <mergeCell ref="AI48:AI49"/>
    <mergeCell ref="AM30:AM31"/>
    <mergeCell ref="AN30:AN31"/>
    <mergeCell ref="AP30:AP31"/>
    <mergeCell ref="AH31:AH32"/>
    <mergeCell ref="AI31:AI32"/>
    <mergeCell ref="AL13:AL14"/>
    <mergeCell ref="AP13:AP16"/>
    <mergeCell ref="AG11:AH11"/>
    <mergeCell ref="AI11:AI12"/>
    <mergeCell ref="A52:A53"/>
    <mergeCell ref="M52:M53"/>
    <mergeCell ref="Y52:Y53"/>
    <mergeCell ref="G53:G54"/>
    <mergeCell ref="AE53:AE54"/>
    <mergeCell ref="Y54:Y56"/>
    <mergeCell ref="Z54:Z55"/>
    <mergeCell ref="AF48:AF49"/>
    <mergeCell ref="A49:A51"/>
    <mergeCell ref="B49:B50"/>
    <mergeCell ref="C49:C50"/>
    <mergeCell ref="D49:D50"/>
    <mergeCell ref="E49:E50"/>
    <mergeCell ref="M49:M51"/>
    <mergeCell ref="N49:N50"/>
    <mergeCell ref="O49:O50"/>
    <mergeCell ref="P49:P50"/>
    <mergeCell ref="Q49:Q50"/>
    <mergeCell ref="G50:G52"/>
    <mergeCell ref="H50:H51"/>
    <mergeCell ref="I50:I51"/>
    <mergeCell ref="J50:J51"/>
    <mergeCell ref="K50:K51"/>
    <mergeCell ref="E47:E48"/>
    <mergeCell ref="AH40:AH41"/>
    <mergeCell ref="AI40:AI41"/>
    <mergeCell ref="T41:T44"/>
    <mergeCell ref="AA40:AA41"/>
    <mergeCell ref="AB40:AB41"/>
    <mergeCell ref="AC40:AC41"/>
    <mergeCell ref="AF40:AF41"/>
    <mergeCell ref="S51:S52"/>
    <mergeCell ref="Z42:Z43"/>
    <mergeCell ref="AE38:AE49"/>
    <mergeCell ref="AF38:AF39"/>
    <mergeCell ref="AF43:AF46"/>
    <mergeCell ref="T38:T39"/>
    <mergeCell ref="U38:U39"/>
    <mergeCell ref="V38:V39"/>
    <mergeCell ref="W38:W39"/>
    <mergeCell ref="S48:S50"/>
    <mergeCell ref="T48:T49"/>
    <mergeCell ref="U48:U49"/>
    <mergeCell ref="V48:V49"/>
    <mergeCell ref="W48:W49"/>
    <mergeCell ref="Z50:Z51"/>
    <mergeCell ref="AA50:AA51"/>
    <mergeCell ref="AB50:AB51"/>
    <mergeCell ref="AC50:AC51"/>
    <mergeCell ref="AE50:AE52"/>
    <mergeCell ref="AA42:AA43"/>
    <mergeCell ref="AB42:AB43"/>
    <mergeCell ref="AC42:AC43"/>
    <mergeCell ref="H43:H46"/>
    <mergeCell ref="Z45:Z48"/>
    <mergeCell ref="T46:T47"/>
    <mergeCell ref="U46:U47"/>
    <mergeCell ref="V46:V47"/>
    <mergeCell ref="W46:W47"/>
    <mergeCell ref="Y39:Y51"/>
    <mergeCell ref="Z39:Z41"/>
    <mergeCell ref="H40:H41"/>
    <mergeCell ref="I40:I41"/>
    <mergeCell ref="J40:J41"/>
    <mergeCell ref="K40:K41"/>
    <mergeCell ref="Q47:Q48"/>
    <mergeCell ref="H48:H49"/>
    <mergeCell ref="N42:N45"/>
    <mergeCell ref="N47:N48"/>
    <mergeCell ref="O47:O48"/>
    <mergeCell ref="P47:P48"/>
    <mergeCell ref="Q39:Q40"/>
    <mergeCell ref="AF34:AF36"/>
    <mergeCell ref="S37:S47"/>
    <mergeCell ref="Z19:Z21"/>
    <mergeCell ref="AG40:AG41"/>
    <mergeCell ref="Z32:Z33"/>
    <mergeCell ref="Z35:Z37"/>
    <mergeCell ref="P39:P40"/>
    <mergeCell ref="B39:B40"/>
    <mergeCell ref="C39:C40"/>
    <mergeCell ref="Z26:Z27"/>
    <mergeCell ref="G38:G49"/>
    <mergeCell ref="H38:H39"/>
    <mergeCell ref="M38:M48"/>
    <mergeCell ref="K48:K49"/>
    <mergeCell ref="D39:D40"/>
    <mergeCell ref="E39:E40"/>
    <mergeCell ref="N39:N40"/>
    <mergeCell ref="O39:O40"/>
    <mergeCell ref="B42:B45"/>
    <mergeCell ref="B47:B48"/>
    <mergeCell ref="C47:C48"/>
    <mergeCell ref="D47:D48"/>
    <mergeCell ref="I48:I49"/>
    <mergeCell ref="J48:J49"/>
    <mergeCell ref="S28:S36"/>
    <mergeCell ref="T28:T30"/>
    <mergeCell ref="AE28:AE37"/>
    <mergeCell ref="Y29:Y38"/>
    <mergeCell ref="Z29:Z31"/>
    <mergeCell ref="AA32:AA33"/>
    <mergeCell ref="AB32:AB33"/>
    <mergeCell ref="AC32:AC33"/>
    <mergeCell ref="B34:B36"/>
    <mergeCell ref="H34:H36"/>
    <mergeCell ref="N34:N36"/>
    <mergeCell ref="T34:T35"/>
    <mergeCell ref="T31:T32"/>
    <mergeCell ref="O31:O32"/>
    <mergeCell ref="P31:P32"/>
    <mergeCell ref="Q31:Q32"/>
    <mergeCell ref="B28:B30"/>
    <mergeCell ref="G28:G37"/>
    <mergeCell ref="H28:H30"/>
    <mergeCell ref="M28:M37"/>
    <mergeCell ref="N28:N30"/>
    <mergeCell ref="B31:B32"/>
    <mergeCell ref="C31:C32"/>
    <mergeCell ref="D31:D32"/>
    <mergeCell ref="A38:A48"/>
    <mergeCell ref="E17:E18"/>
    <mergeCell ref="G17:G27"/>
    <mergeCell ref="H17:H20"/>
    <mergeCell ref="I17:I18"/>
    <mergeCell ref="J17:J18"/>
    <mergeCell ref="K17:K18"/>
    <mergeCell ref="M17:M27"/>
    <mergeCell ref="N17:N20"/>
    <mergeCell ref="C17:C18"/>
    <mergeCell ref="D17:D18"/>
    <mergeCell ref="A17:A27"/>
    <mergeCell ref="B25:B26"/>
    <mergeCell ref="B21:B22"/>
    <mergeCell ref="A28:A37"/>
    <mergeCell ref="E31:E32"/>
    <mergeCell ref="H31:H32"/>
    <mergeCell ref="I31:I32"/>
    <mergeCell ref="J31:J32"/>
    <mergeCell ref="K31:K32"/>
    <mergeCell ref="N31:N32"/>
    <mergeCell ref="AM11:AN11"/>
    <mergeCell ref="AP11:AP12"/>
    <mergeCell ref="A13:A16"/>
    <mergeCell ref="B13:B14"/>
    <mergeCell ref="E13:E16"/>
    <mergeCell ref="G13:G16"/>
    <mergeCell ref="H13:H14"/>
    <mergeCell ref="K13:K16"/>
    <mergeCell ref="M13:M16"/>
    <mergeCell ref="N13:N14"/>
    <mergeCell ref="Q13:Q16"/>
    <mergeCell ref="S13:S16"/>
    <mergeCell ref="T13:T14"/>
    <mergeCell ref="W13:W16"/>
    <mergeCell ref="Y13:Y18"/>
    <mergeCell ref="Z13:Z15"/>
    <mergeCell ref="AC13:AC18"/>
    <mergeCell ref="AE13:AE16"/>
    <mergeCell ref="AF13:AF14"/>
    <mergeCell ref="AI13:AI16"/>
    <mergeCell ref="E11:E12"/>
    <mergeCell ref="G11:H12"/>
    <mergeCell ref="I11:J11"/>
    <mergeCell ref="K11:K12"/>
    <mergeCell ref="M11:N12"/>
    <mergeCell ref="A11:B12"/>
    <mergeCell ref="C11:D11"/>
    <mergeCell ref="AK13:AK16"/>
    <mergeCell ref="O11:P11"/>
    <mergeCell ref="Q11:Q12"/>
    <mergeCell ref="AA11:AB11"/>
    <mergeCell ref="AC11:AC12"/>
    <mergeCell ref="S11:T12"/>
    <mergeCell ref="U11:V11"/>
    <mergeCell ref="W11:W12"/>
    <mergeCell ref="Y11:Z12"/>
    <mergeCell ref="AE11:AF12"/>
    <mergeCell ref="AK11:AL12"/>
    <mergeCell ref="B15:B16"/>
    <mergeCell ref="H15:H16"/>
    <mergeCell ref="N15:N16"/>
    <mergeCell ref="T15:T16"/>
    <mergeCell ref="AF15:AF16"/>
    <mergeCell ref="AL15:AL16"/>
    <mergeCell ref="Z16:Z18"/>
    <mergeCell ref="B17:B20"/>
    <mergeCell ref="P17:P18"/>
    <mergeCell ref="Q17:Q18"/>
    <mergeCell ref="S17:S27"/>
    <mergeCell ref="T17:T20"/>
    <mergeCell ref="U17:U18"/>
    <mergeCell ref="V17:V18"/>
    <mergeCell ref="W17:W18"/>
    <mergeCell ref="C19:C20"/>
    <mergeCell ref="D19:D20"/>
    <mergeCell ref="O21:O22"/>
    <mergeCell ref="P21:P22"/>
    <mergeCell ref="Q21:Q22"/>
    <mergeCell ref="E19:E20"/>
    <mergeCell ref="D21:D22"/>
    <mergeCell ref="E21:E22"/>
    <mergeCell ref="C21:C22"/>
    <mergeCell ref="H25:H26"/>
    <mergeCell ref="N25:N26"/>
    <mergeCell ref="T25:T26"/>
    <mergeCell ref="I21:I22"/>
    <mergeCell ref="J21:J22"/>
    <mergeCell ref="O17:O18"/>
    <mergeCell ref="H21:H22"/>
    <mergeCell ref="AL30:AL31"/>
    <mergeCell ref="AG19:AG20"/>
    <mergeCell ref="AH19:AH20"/>
    <mergeCell ref="AI19:AI20"/>
    <mergeCell ref="I19:I20"/>
    <mergeCell ref="J19:J20"/>
    <mergeCell ref="K19:K20"/>
    <mergeCell ref="O19:O20"/>
    <mergeCell ref="P19:P20"/>
    <mergeCell ref="Q19:Q20"/>
    <mergeCell ref="V21:V22"/>
    <mergeCell ref="W21:W22"/>
    <mergeCell ref="AF31:AF32"/>
    <mergeCell ref="AG31:AG32"/>
    <mergeCell ref="AF25:AF26"/>
    <mergeCell ref="U31:U32"/>
    <mergeCell ref="V31:V32"/>
    <mergeCell ref="W31:W32"/>
    <mergeCell ref="AF28:AF30"/>
    <mergeCell ref="AE17:AE27"/>
    <mergeCell ref="AF17:AF20"/>
    <mergeCell ref="AI17:AI18"/>
    <mergeCell ref="AK18:AK20"/>
    <mergeCell ref="AG17:AG18"/>
    <mergeCell ref="AV16:AV19"/>
    <mergeCell ref="K21:K22"/>
    <mergeCell ref="N21:N22"/>
    <mergeCell ref="AH17:AH18"/>
    <mergeCell ref="AL19:AL20"/>
    <mergeCell ref="AA20:AA21"/>
    <mergeCell ref="AB20:AB21"/>
    <mergeCell ref="AC20:AC21"/>
    <mergeCell ref="U19:U20"/>
    <mergeCell ref="V19:V20"/>
    <mergeCell ref="W19:W20"/>
    <mergeCell ref="Y19:Y28"/>
    <mergeCell ref="T21:T22"/>
    <mergeCell ref="U21:U22"/>
    <mergeCell ref="AF21:AF22"/>
    <mergeCell ref="AG21:AG22"/>
    <mergeCell ref="AH21:AH22"/>
    <mergeCell ref="AI21:AI22"/>
    <mergeCell ref="AK21:AK31"/>
    <mergeCell ref="Z22:Z23"/>
    <mergeCell ref="AA22:AA23"/>
    <mergeCell ref="AB22:AB23"/>
    <mergeCell ref="AC22:AC23"/>
    <mergeCell ref="AL24:AL28"/>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62AFB-9D54-4EC9-ABA5-39B1E42C83AA}">
  <dimension ref="B2:AG26"/>
  <sheetViews>
    <sheetView zoomScale="85" zoomScaleNormal="85" workbookViewId="0">
      <selection activeCell="K21" sqref="K21:V22"/>
    </sheetView>
  </sheetViews>
  <sheetFormatPr defaultColWidth="11.42578125" defaultRowHeight="15" x14ac:dyDescent="0.25"/>
  <cols>
    <col min="1" max="1" width="4.7109375" style="94" customWidth="1"/>
    <col min="2" max="2" width="8.7109375" style="94" customWidth="1"/>
    <col min="3" max="3" width="30.7109375" style="94" bestFit="1" customWidth="1"/>
    <col min="4" max="8" width="17" style="94" customWidth="1"/>
    <col min="9" max="9" width="11.42578125" style="94"/>
    <col min="10" max="10" width="10" style="94" customWidth="1"/>
    <col min="11" max="11" width="3.28515625" style="94" customWidth="1"/>
    <col min="12" max="12" width="13.7109375" style="94" customWidth="1"/>
    <col min="13" max="15" width="4.85546875" style="94" customWidth="1"/>
    <col min="16" max="17" width="5.5703125" style="94" customWidth="1"/>
    <col min="18" max="19" width="4.5703125" style="94" customWidth="1"/>
    <col min="20" max="20" width="2.7109375" style="94" customWidth="1"/>
    <col min="21" max="21" width="3" style="94" customWidth="1"/>
    <col min="22" max="22" width="4.85546875" style="94" customWidth="1"/>
    <col min="23" max="23" width="4.7109375" style="94" customWidth="1"/>
    <col min="24" max="24" width="6.5703125" style="94" customWidth="1"/>
    <col min="25" max="25" width="5.28515625" style="94" customWidth="1"/>
    <col min="26" max="27" width="3.28515625" style="94" customWidth="1"/>
    <col min="28" max="28" width="6.7109375" style="94" customWidth="1"/>
    <col min="29" max="30" width="4.42578125" style="94" customWidth="1"/>
    <col min="31" max="32" width="4.5703125" style="94" customWidth="1"/>
    <col min="33" max="33" width="17.28515625" style="94" customWidth="1"/>
    <col min="34" max="16384" width="11.42578125" style="94"/>
  </cols>
  <sheetData>
    <row r="2" spans="2:33" x14ac:dyDescent="0.25">
      <c r="B2" s="42" t="s">
        <v>434</v>
      </c>
      <c r="C2"/>
      <c r="D2"/>
      <c r="E2"/>
      <c r="J2" s="145" t="s">
        <v>479</v>
      </c>
      <c r="AG2"/>
    </row>
    <row r="3" spans="2:33" ht="45" customHeight="1" x14ac:dyDescent="0.25">
      <c r="B3" s="134" t="s">
        <v>413</v>
      </c>
      <c r="C3" s="134" t="s">
        <v>414</v>
      </c>
      <c r="D3" s="134" t="s">
        <v>608</v>
      </c>
      <c r="E3" s="134" t="s">
        <v>609</v>
      </c>
      <c r="F3" s="134" t="s">
        <v>415</v>
      </c>
      <c r="G3" s="134" t="s">
        <v>416</v>
      </c>
      <c r="H3" s="134" t="s">
        <v>590</v>
      </c>
      <c r="J3" s="502"/>
      <c r="K3" s="502"/>
      <c r="L3" s="502"/>
      <c r="M3" s="483" t="s">
        <v>435</v>
      </c>
      <c r="N3" s="485"/>
      <c r="O3" s="485"/>
      <c r="P3" s="485"/>
      <c r="Q3" s="485"/>
      <c r="R3" s="485"/>
      <c r="S3" s="485"/>
      <c r="T3" s="485"/>
      <c r="U3" s="485"/>
      <c r="V3" s="485"/>
      <c r="W3" s="485"/>
      <c r="X3" s="485"/>
      <c r="Y3" s="485"/>
      <c r="Z3" s="485"/>
      <c r="AA3" s="485"/>
      <c r="AB3" s="485"/>
      <c r="AC3" s="485"/>
      <c r="AD3" s="485"/>
      <c r="AE3" s="485"/>
      <c r="AF3" s="485"/>
      <c r="AG3" s="485" t="s">
        <v>478</v>
      </c>
    </row>
    <row r="4" spans="2:33" x14ac:dyDescent="0.25">
      <c r="B4" s="133">
        <v>21</v>
      </c>
      <c r="C4" s="54" t="s">
        <v>68</v>
      </c>
      <c r="D4" s="54" t="s">
        <v>419</v>
      </c>
      <c r="E4" s="54"/>
      <c r="F4" s="54" t="s">
        <v>417</v>
      </c>
      <c r="G4" s="54" t="s">
        <v>417</v>
      </c>
      <c r="H4" s="54" t="s">
        <v>419</v>
      </c>
      <c r="J4" s="502"/>
      <c r="K4" s="502"/>
      <c r="L4" s="502"/>
      <c r="M4" s="486"/>
      <c r="N4" s="438"/>
      <c r="O4" s="438"/>
      <c r="P4" s="438"/>
      <c r="Q4" s="438"/>
      <c r="R4" s="438"/>
      <c r="S4" s="438"/>
      <c r="T4" s="438"/>
      <c r="U4" s="438"/>
      <c r="V4" s="438"/>
      <c r="W4" s="438"/>
      <c r="X4" s="438"/>
      <c r="Y4" s="438"/>
      <c r="Z4" s="438"/>
      <c r="AA4" s="438"/>
      <c r="AB4" s="438"/>
      <c r="AC4" s="438"/>
      <c r="AD4" s="438"/>
      <c r="AE4" s="438"/>
      <c r="AF4" s="438"/>
      <c r="AG4" s="495"/>
    </row>
    <row r="5" spans="2:33" x14ac:dyDescent="0.25">
      <c r="B5" s="133">
        <v>22</v>
      </c>
      <c r="C5" s="54" t="s">
        <v>418</v>
      </c>
      <c r="D5" s="54" t="s">
        <v>419</v>
      </c>
      <c r="E5" s="54" t="s">
        <v>419</v>
      </c>
      <c r="F5" s="54" t="s">
        <v>419</v>
      </c>
      <c r="G5" s="54" t="s">
        <v>419</v>
      </c>
      <c r="H5" s="54" t="s">
        <v>419</v>
      </c>
      <c r="J5" s="502"/>
      <c r="K5" s="502"/>
      <c r="L5" s="502"/>
      <c r="M5" s="486"/>
      <c r="N5" s="438"/>
      <c r="O5" s="438"/>
      <c r="P5" s="438"/>
      <c r="Q5" s="438"/>
      <c r="R5" s="438"/>
      <c r="S5" s="438"/>
      <c r="T5" s="438"/>
      <c r="U5" s="438"/>
      <c r="V5" s="438"/>
      <c r="W5" s="438"/>
      <c r="X5" s="438"/>
      <c r="Y5" s="438"/>
      <c r="Z5" s="438"/>
      <c r="AA5" s="438"/>
      <c r="AB5" s="438"/>
      <c r="AC5" s="438"/>
      <c r="AD5" s="438"/>
      <c r="AE5" s="438"/>
      <c r="AF5" s="438"/>
      <c r="AG5" s="495"/>
    </row>
    <row r="6" spans="2:33" x14ac:dyDescent="0.25">
      <c r="B6" s="133">
        <v>23</v>
      </c>
      <c r="C6" s="54" t="s">
        <v>420</v>
      </c>
      <c r="D6" s="54" t="s">
        <v>419</v>
      </c>
      <c r="E6" s="54" t="s">
        <v>419</v>
      </c>
      <c r="F6" s="54" t="s">
        <v>419</v>
      </c>
      <c r="G6" s="54" t="s">
        <v>419</v>
      </c>
      <c r="H6" s="54" t="s">
        <v>419</v>
      </c>
      <c r="J6" s="502"/>
      <c r="K6" s="502"/>
      <c r="L6" s="502"/>
      <c r="M6" s="486"/>
      <c r="N6" s="438"/>
      <c r="O6" s="438"/>
      <c r="P6" s="438"/>
      <c r="Q6" s="438"/>
      <c r="R6" s="438"/>
      <c r="S6" s="438"/>
      <c r="T6" s="438"/>
      <c r="U6" s="438"/>
      <c r="V6" s="438"/>
      <c r="W6" s="438"/>
      <c r="X6" s="438"/>
      <c r="Y6" s="438"/>
      <c r="Z6" s="438"/>
      <c r="AA6" s="438"/>
      <c r="AB6" s="438"/>
      <c r="AC6" s="438"/>
      <c r="AD6" s="438"/>
      <c r="AE6" s="438"/>
      <c r="AF6" s="438"/>
      <c r="AG6" s="495"/>
    </row>
    <row r="7" spans="2:33" ht="15" customHeight="1" x14ac:dyDescent="0.25">
      <c r="B7" s="133">
        <v>24</v>
      </c>
      <c r="C7" s="54" t="s">
        <v>189</v>
      </c>
      <c r="D7" s="54" t="s">
        <v>419</v>
      </c>
      <c r="E7" s="54" t="s">
        <v>419</v>
      </c>
      <c r="F7" s="54" t="s">
        <v>419</v>
      </c>
      <c r="G7" s="54" t="s">
        <v>419</v>
      </c>
      <c r="H7" s="54" t="s">
        <v>419</v>
      </c>
      <c r="J7" s="502"/>
      <c r="K7" s="502"/>
      <c r="L7" s="502"/>
      <c r="M7" s="504" t="s">
        <v>436</v>
      </c>
      <c r="N7" s="487"/>
      <c r="O7" s="487"/>
      <c r="P7" s="487" t="s">
        <v>475</v>
      </c>
      <c r="Q7" s="487"/>
      <c r="R7" s="488" t="s">
        <v>437</v>
      </c>
      <c r="S7" s="488"/>
      <c r="T7" s="488"/>
      <c r="U7" s="488"/>
      <c r="V7" s="488"/>
      <c r="W7" s="488"/>
      <c r="X7" s="488"/>
      <c r="Y7" s="488"/>
      <c r="Z7" s="488"/>
      <c r="AA7" s="488"/>
      <c r="AB7" s="487" t="s">
        <v>438</v>
      </c>
      <c r="AC7" s="487"/>
      <c r="AD7" s="487"/>
      <c r="AE7" s="487"/>
      <c r="AF7" s="487"/>
      <c r="AG7" s="489" t="s">
        <v>477</v>
      </c>
    </row>
    <row r="8" spans="2:33" x14ac:dyDescent="0.25">
      <c r="B8" s="133">
        <v>25</v>
      </c>
      <c r="C8" s="54" t="s">
        <v>218</v>
      </c>
      <c r="D8" s="54" t="s">
        <v>419</v>
      </c>
      <c r="E8" s="54" t="s">
        <v>419</v>
      </c>
      <c r="F8" s="54" t="s">
        <v>419</v>
      </c>
      <c r="G8" s="54" t="s">
        <v>419</v>
      </c>
      <c r="H8" s="54" t="s">
        <v>419</v>
      </c>
      <c r="J8" s="502"/>
      <c r="K8" s="502"/>
      <c r="L8" s="502"/>
      <c r="M8" s="491" t="s">
        <v>439</v>
      </c>
      <c r="N8" s="492"/>
      <c r="O8" s="492"/>
      <c r="P8" s="492" t="s">
        <v>476</v>
      </c>
      <c r="Q8" s="492"/>
      <c r="R8" s="493" t="s">
        <v>440</v>
      </c>
      <c r="S8" s="493"/>
      <c r="T8" s="493"/>
      <c r="U8" s="493"/>
      <c r="V8" s="493"/>
      <c r="W8" s="493"/>
      <c r="X8" s="493"/>
      <c r="Y8" s="493"/>
      <c r="Z8" s="493"/>
      <c r="AA8" s="493"/>
      <c r="AB8" s="493" t="s">
        <v>441</v>
      </c>
      <c r="AC8" s="493"/>
      <c r="AD8" s="493"/>
      <c r="AE8" s="493"/>
      <c r="AF8" s="493"/>
      <c r="AG8" s="490"/>
    </row>
    <row r="9" spans="2:33" x14ac:dyDescent="0.25">
      <c r="B9" s="133">
        <v>26</v>
      </c>
      <c r="C9" s="54" t="s">
        <v>368</v>
      </c>
      <c r="D9" s="54" t="s">
        <v>419</v>
      </c>
      <c r="E9" s="54" t="s">
        <v>419</v>
      </c>
      <c r="F9" s="54" t="s">
        <v>419</v>
      </c>
      <c r="G9" s="54" t="s">
        <v>419</v>
      </c>
      <c r="H9" s="54" t="s">
        <v>419</v>
      </c>
      <c r="J9" s="502"/>
      <c r="K9" s="502"/>
      <c r="L9" s="502"/>
      <c r="M9" s="138" t="s">
        <v>442</v>
      </c>
      <c r="N9" s="135" t="s">
        <v>443</v>
      </c>
      <c r="O9" s="135" t="s">
        <v>444</v>
      </c>
      <c r="P9" s="135" t="s">
        <v>29</v>
      </c>
      <c r="Q9" s="135" t="s">
        <v>30</v>
      </c>
      <c r="R9" s="135" t="s">
        <v>445</v>
      </c>
      <c r="S9" s="135" t="s">
        <v>31</v>
      </c>
      <c r="T9" s="503" t="s">
        <v>446</v>
      </c>
      <c r="U9" s="503"/>
      <c r="V9" s="135" t="s">
        <v>32</v>
      </c>
      <c r="W9" s="135" t="s">
        <v>447</v>
      </c>
      <c r="X9" s="135" t="s">
        <v>448</v>
      </c>
      <c r="Y9" s="136" t="s">
        <v>587</v>
      </c>
      <c r="Z9" s="503" t="s">
        <v>449</v>
      </c>
      <c r="AA9" s="503"/>
      <c r="AB9" s="135" t="s">
        <v>450</v>
      </c>
      <c r="AC9" s="503" t="s">
        <v>451</v>
      </c>
      <c r="AD9" s="503"/>
      <c r="AE9" s="135" t="s">
        <v>452</v>
      </c>
      <c r="AF9" s="135" t="s">
        <v>453</v>
      </c>
      <c r="AG9" s="135" t="s">
        <v>454</v>
      </c>
    </row>
    <row r="10" spans="2:33" x14ac:dyDescent="0.25">
      <c r="B10" s="133">
        <v>27</v>
      </c>
      <c r="C10" s="54" t="s">
        <v>426</v>
      </c>
      <c r="D10" s="54"/>
      <c r="E10" s="54"/>
      <c r="F10" s="54" t="s">
        <v>421</v>
      </c>
      <c r="G10" s="54"/>
      <c r="H10" s="54" t="s">
        <v>419</v>
      </c>
      <c r="J10" s="502"/>
      <c r="K10" s="502"/>
      <c r="L10" s="502"/>
      <c r="M10" s="498" t="s">
        <v>455</v>
      </c>
      <c r="N10" s="494" t="s">
        <v>456</v>
      </c>
      <c r="O10" s="494" t="s">
        <v>457</v>
      </c>
      <c r="P10" s="494" t="s">
        <v>456</v>
      </c>
      <c r="Q10" s="494" t="s">
        <v>458</v>
      </c>
      <c r="R10" s="494" t="s">
        <v>459</v>
      </c>
      <c r="S10" s="494" t="s">
        <v>460</v>
      </c>
      <c r="T10" s="494" t="s">
        <v>461</v>
      </c>
      <c r="U10" s="494"/>
      <c r="V10" s="494" t="s">
        <v>462</v>
      </c>
      <c r="W10" s="494" t="s">
        <v>463</v>
      </c>
      <c r="X10" s="494" t="s">
        <v>464</v>
      </c>
      <c r="Y10" s="496" t="s">
        <v>465</v>
      </c>
      <c r="Z10" s="494" t="s">
        <v>466</v>
      </c>
      <c r="AA10" s="494"/>
      <c r="AB10" s="494" t="s">
        <v>467</v>
      </c>
      <c r="AC10" s="494" t="s">
        <v>456</v>
      </c>
      <c r="AD10" s="494"/>
      <c r="AE10" s="494" t="s">
        <v>468</v>
      </c>
      <c r="AF10" s="494" t="s">
        <v>469</v>
      </c>
      <c r="AG10" s="499" t="s">
        <v>470</v>
      </c>
    </row>
    <row r="11" spans="2:33" x14ac:dyDescent="0.25">
      <c r="B11" s="133">
        <v>28</v>
      </c>
      <c r="C11" s="54" t="s">
        <v>427</v>
      </c>
      <c r="D11" s="54" t="s">
        <v>419</v>
      </c>
      <c r="E11" s="54" t="s">
        <v>419</v>
      </c>
      <c r="F11" s="54" t="s">
        <v>419</v>
      </c>
      <c r="G11" s="54" t="s">
        <v>419</v>
      </c>
      <c r="H11" s="54" t="s">
        <v>419</v>
      </c>
      <c r="J11" s="502"/>
      <c r="K11" s="502"/>
      <c r="L11" s="502"/>
      <c r="M11" s="486"/>
      <c r="N11" s="495"/>
      <c r="O11" s="495"/>
      <c r="P11" s="495"/>
      <c r="Q11" s="495"/>
      <c r="R11" s="495"/>
      <c r="S11" s="495"/>
      <c r="T11" s="495"/>
      <c r="U11" s="438"/>
      <c r="V11" s="495"/>
      <c r="W11" s="495"/>
      <c r="X11" s="495"/>
      <c r="Y11" s="497"/>
      <c r="Z11" s="495"/>
      <c r="AA11" s="438"/>
      <c r="AB11" s="495"/>
      <c r="AC11" s="495"/>
      <c r="AD11" s="438"/>
      <c r="AE11" s="495"/>
      <c r="AF11" s="495"/>
      <c r="AG11" s="484"/>
    </row>
    <row r="12" spans="2:33" x14ac:dyDescent="0.25">
      <c r="B12" s="133">
        <v>29</v>
      </c>
      <c r="C12" s="54" t="s">
        <v>428</v>
      </c>
      <c r="D12" s="54"/>
      <c r="E12" s="54"/>
      <c r="F12" s="54"/>
      <c r="G12" s="54"/>
      <c r="H12" s="54" t="s">
        <v>419</v>
      </c>
      <c r="J12" s="502"/>
      <c r="K12" s="502"/>
      <c r="L12" s="502"/>
      <c r="M12" s="486"/>
      <c r="N12" s="495"/>
      <c r="O12" s="495"/>
      <c r="P12" s="495"/>
      <c r="Q12" s="495"/>
      <c r="R12" s="495"/>
      <c r="S12" s="495"/>
      <c r="T12" s="495"/>
      <c r="U12" s="438"/>
      <c r="V12" s="495"/>
      <c r="W12" s="495"/>
      <c r="X12" s="495"/>
      <c r="Y12" s="497"/>
      <c r="Z12" s="495"/>
      <c r="AA12" s="438"/>
      <c r="AB12" s="495"/>
      <c r="AC12" s="495"/>
      <c r="AD12" s="438"/>
      <c r="AE12" s="495"/>
      <c r="AF12" s="495"/>
      <c r="AG12" s="484"/>
    </row>
    <row r="13" spans="2:33" x14ac:dyDescent="0.25">
      <c r="B13" s="133">
        <v>31</v>
      </c>
      <c r="C13" s="54" t="s">
        <v>422</v>
      </c>
      <c r="D13" s="54" t="s">
        <v>419</v>
      </c>
      <c r="E13" s="54"/>
      <c r="F13" s="54"/>
      <c r="G13" s="54"/>
      <c r="H13" s="54" t="s">
        <v>419</v>
      </c>
      <c r="J13" s="502"/>
      <c r="K13" s="502"/>
      <c r="L13" s="502"/>
      <c r="M13" s="486"/>
      <c r="N13" s="495"/>
      <c r="O13" s="495"/>
      <c r="P13" s="495"/>
      <c r="Q13" s="495"/>
      <c r="R13" s="495"/>
      <c r="S13" s="495"/>
      <c r="T13" s="495"/>
      <c r="U13" s="438"/>
      <c r="V13" s="495"/>
      <c r="W13" s="495"/>
      <c r="X13" s="495"/>
      <c r="Y13" s="497"/>
      <c r="Z13" s="495"/>
      <c r="AA13" s="438"/>
      <c r="AB13" s="495"/>
      <c r="AC13" s="495"/>
      <c r="AD13" s="438"/>
      <c r="AE13" s="495"/>
      <c r="AF13" s="495"/>
      <c r="AG13" s="484"/>
    </row>
    <row r="14" spans="2:33" x14ac:dyDescent="0.25">
      <c r="B14" s="133">
        <v>32</v>
      </c>
      <c r="C14" s="54" t="s">
        <v>423</v>
      </c>
      <c r="D14" s="54" t="s">
        <v>419</v>
      </c>
      <c r="E14" s="54"/>
      <c r="F14" s="54"/>
      <c r="G14" s="54"/>
      <c r="H14" s="54" t="s">
        <v>419</v>
      </c>
      <c r="J14" s="502"/>
      <c r="K14" s="502"/>
      <c r="L14" s="502"/>
      <c r="M14" s="486"/>
      <c r="N14" s="495"/>
      <c r="O14" s="495"/>
      <c r="P14" s="495"/>
      <c r="Q14" s="495"/>
      <c r="R14" s="495"/>
      <c r="S14" s="495"/>
      <c r="T14" s="495"/>
      <c r="U14" s="438"/>
      <c r="V14" s="495"/>
      <c r="W14" s="495"/>
      <c r="X14" s="495"/>
      <c r="Y14" s="497"/>
      <c r="Z14" s="495"/>
      <c r="AA14" s="438"/>
      <c r="AB14" s="495"/>
      <c r="AC14" s="495"/>
      <c r="AD14" s="438"/>
      <c r="AE14" s="495"/>
      <c r="AF14" s="495"/>
      <c r="AG14" s="484"/>
    </row>
    <row r="15" spans="2:33" x14ac:dyDescent="0.25">
      <c r="B15" s="133">
        <v>33</v>
      </c>
      <c r="C15" s="54" t="s">
        <v>592</v>
      </c>
      <c r="D15" s="54" t="s">
        <v>419</v>
      </c>
      <c r="E15" s="54"/>
      <c r="F15" s="54"/>
      <c r="G15" s="54"/>
      <c r="H15" s="54" t="s">
        <v>419</v>
      </c>
      <c r="J15" s="502"/>
      <c r="K15" s="502"/>
      <c r="L15" s="502"/>
      <c r="M15" s="486"/>
      <c r="N15" s="495"/>
      <c r="O15" s="495"/>
      <c r="P15" s="495"/>
      <c r="Q15" s="495"/>
      <c r="R15" s="495"/>
      <c r="S15" s="495"/>
      <c r="T15" s="495"/>
      <c r="U15" s="438"/>
      <c r="V15" s="495"/>
      <c r="W15" s="495"/>
      <c r="X15" s="495"/>
      <c r="Y15" s="497"/>
      <c r="Z15" s="495"/>
      <c r="AA15" s="438"/>
      <c r="AB15" s="495"/>
      <c r="AC15" s="495"/>
      <c r="AD15" s="438"/>
      <c r="AE15" s="495"/>
      <c r="AF15" s="495"/>
      <c r="AG15" s="484"/>
    </row>
    <row r="16" spans="2:33" x14ac:dyDescent="0.25">
      <c r="B16" s="133">
        <v>35</v>
      </c>
      <c r="C16" s="54" t="s">
        <v>429</v>
      </c>
      <c r="D16" s="54" t="s">
        <v>419</v>
      </c>
      <c r="E16" s="54"/>
      <c r="F16" s="54"/>
      <c r="G16" s="54"/>
      <c r="H16" s="54" t="s">
        <v>419</v>
      </c>
      <c r="J16" s="502"/>
      <c r="K16" s="502"/>
      <c r="L16" s="502"/>
      <c r="M16" s="486"/>
      <c r="N16" s="495"/>
      <c r="O16" s="495"/>
      <c r="P16" s="495"/>
      <c r="Q16" s="495"/>
      <c r="R16" s="495"/>
      <c r="S16" s="495"/>
      <c r="T16" s="495"/>
      <c r="U16" s="438"/>
      <c r="V16" s="495"/>
      <c r="W16" s="495"/>
      <c r="X16" s="495"/>
      <c r="Y16" s="497"/>
      <c r="Z16" s="495"/>
      <c r="AA16" s="438"/>
      <c r="AB16" s="495"/>
      <c r="AC16" s="495"/>
      <c r="AD16" s="438"/>
      <c r="AE16" s="495"/>
      <c r="AF16" s="495"/>
      <c r="AG16" s="484"/>
    </row>
    <row r="17" spans="2:33" ht="22.5" customHeight="1" x14ac:dyDescent="0.25">
      <c r="B17" s="133">
        <v>36</v>
      </c>
      <c r="C17" s="54" t="s">
        <v>593</v>
      </c>
      <c r="D17" s="54" t="s">
        <v>419</v>
      </c>
      <c r="E17" s="54"/>
      <c r="F17" s="54"/>
      <c r="G17" s="54"/>
      <c r="H17" s="54" t="s">
        <v>419</v>
      </c>
      <c r="J17" s="479" t="s">
        <v>471</v>
      </c>
      <c r="K17" s="500" t="s">
        <v>594</v>
      </c>
      <c r="L17" s="501"/>
      <c r="M17" s="192" t="s">
        <v>472</v>
      </c>
      <c r="N17" s="192" t="s">
        <v>472</v>
      </c>
      <c r="O17" s="192" t="s">
        <v>472</v>
      </c>
      <c r="P17" s="192" t="s">
        <v>472</v>
      </c>
      <c r="Q17" s="192" t="s">
        <v>472</v>
      </c>
      <c r="R17" s="192" t="s">
        <v>472</v>
      </c>
      <c r="S17" s="192" t="s">
        <v>472</v>
      </c>
      <c r="T17" s="499" t="s">
        <v>472</v>
      </c>
      <c r="U17" s="499"/>
      <c r="V17" s="192" t="s">
        <v>472</v>
      </c>
      <c r="W17" s="192" t="s">
        <v>472</v>
      </c>
      <c r="X17" s="192" t="s">
        <v>472</v>
      </c>
      <c r="Y17" s="207"/>
      <c r="Z17" s="499" t="s">
        <v>473</v>
      </c>
      <c r="AA17" s="499"/>
      <c r="AB17" s="192"/>
      <c r="AC17" s="499" t="s">
        <v>472</v>
      </c>
      <c r="AD17" s="499"/>
      <c r="AE17" s="192" t="s">
        <v>472</v>
      </c>
      <c r="AF17" s="192"/>
      <c r="AG17" s="137" t="s">
        <v>419</v>
      </c>
    </row>
    <row r="18" spans="2:33" x14ac:dyDescent="0.25">
      <c r="B18" s="133">
        <v>37</v>
      </c>
      <c r="C18" s="54" t="s">
        <v>424</v>
      </c>
      <c r="D18" s="54" t="s">
        <v>419</v>
      </c>
      <c r="E18" s="54"/>
      <c r="F18" s="54"/>
      <c r="G18" s="54"/>
      <c r="H18" s="54" t="s">
        <v>419</v>
      </c>
      <c r="J18" s="480"/>
      <c r="K18" s="483" t="s">
        <v>474</v>
      </c>
      <c r="L18" s="485"/>
      <c r="M18" s="192" t="s">
        <v>472</v>
      </c>
      <c r="N18" s="192" t="s">
        <v>472</v>
      </c>
      <c r="O18" s="192" t="s">
        <v>472</v>
      </c>
      <c r="P18" s="192" t="s">
        <v>472</v>
      </c>
      <c r="Q18" s="193"/>
      <c r="R18" s="193"/>
      <c r="S18" s="193"/>
      <c r="T18" s="484"/>
      <c r="U18" s="484"/>
      <c r="V18" s="192" t="s">
        <v>472</v>
      </c>
      <c r="W18" s="193"/>
      <c r="X18" s="193"/>
      <c r="Y18" s="207"/>
      <c r="Z18" s="499" t="s">
        <v>473</v>
      </c>
      <c r="AA18" s="499"/>
      <c r="AB18" s="192" t="s">
        <v>473</v>
      </c>
      <c r="AC18" s="499" t="s">
        <v>473</v>
      </c>
      <c r="AD18" s="499"/>
      <c r="AE18" s="192" t="s">
        <v>473</v>
      </c>
      <c r="AF18" s="192" t="s">
        <v>473</v>
      </c>
      <c r="AG18" s="132"/>
    </row>
    <row r="19" spans="2:33" ht="15" customHeight="1" x14ac:dyDescent="0.25">
      <c r="B19" s="133">
        <v>39</v>
      </c>
      <c r="C19" s="54" t="s">
        <v>591</v>
      </c>
      <c r="D19" s="54"/>
      <c r="E19" s="54"/>
      <c r="F19" s="54"/>
      <c r="G19" s="54"/>
      <c r="H19" s="54" t="s">
        <v>419</v>
      </c>
      <c r="J19" s="480"/>
      <c r="K19" s="483" t="s">
        <v>563</v>
      </c>
      <c r="L19" s="485"/>
      <c r="M19" s="192" t="s">
        <v>472</v>
      </c>
      <c r="N19" s="192" t="s">
        <v>472</v>
      </c>
      <c r="O19" s="192" t="s">
        <v>472</v>
      </c>
      <c r="P19" s="192" t="s">
        <v>419</v>
      </c>
      <c r="Q19" s="193"/>
      <c r="R19" s="193"/>
      <c r="S19" s="193"/>
      <c r="T19" s="508"/>
      <c r="U19" s="509"/>
      <c r="V19" s="192" t="s">
        <v>419</v>
      </c>
      <c r="W19" s="192" t="s">
        <v>419</v>
      </c>
      <c r="X19" s="193"/>
      <c r="Y19" s="207"/>
      <c r="Z19" s="506"/>
      <c r="AA19" s="507"/>
      <c r="AB19" s="192"/>
      <c r="AC19" s="506"/>
      <c r="AD19" s="507"/>
      <c r="AE19" s="192"/>
      <c r="AF19" s="192"/>
      <c r="AG19" s="132"/>
    </row>
    <row r="20" spans="2:33" ht="21.6" customHeight="1" x14ac:dyDescent="0.25">
      <c r="B20" s="133" t="s">
        <v>430</v>
      </c>
      <c r="C20" s="54" t="s">
        <v>431</v>
      </c>
      <c r="D20" s="54" t="s">
        <v>419</v>
      </c>
      <c r="E20" s="54"/>
      <c r="F20" s="54" t="s">
        <v>419</v>
      </c>
      <c r="G20" s="54"/>
      <c r="H20" s="54" t="s">
        <v>419</v>
      </c>
      <c r="J20" s="480"/>
      <c r="K20" s="483" t="s">
        <v>595</v>
      </c>
      <c r="L20" s="485"/>
      <c r="M20" s="192" t="s">
        <v>472</v>
      </c>
      <c r="N20" s="192" t="s">
        <v>472</v>
      </c>
      <c r="O20" s="192" t="s">
        <v>472</v>
      </c>
      <c r="P20" s="192" t="s">
        <v>419</v>
      </c>
      <c r="Q20" s="208" t="s">
        <v>540</v>
      </c>
      <c r="R20" s="193"/>
      <c r="S20" s="208" t="s">
        <v>419</v>
      </c>
      <c r="T20" s="484"/>
      <c r="U20" s="484"/>
      <c r="V20" s="208" t="s">
        <v>472</v>
      </c>
      <c r="W20" s="192"/>
      <c r="X20" s="193"/>
      <c r="Y20" s="207"/>
      <c r="Z20" s="484"/>
      <c r="AA20" s="484"/>
      <c r="AB20" s="193"/>
      <c r="AC20" s="484"/>
      <c r="AD20" s="484"/>
      <c r="AE20" s="193"/>
      <c r="AF20" s="193"/>
      <c r="AG20" s="132"/>
    </row>
    <row r="21" spans="2:33" x14ac:dyDescent="0.25">
      <c r="B21" s="133">
        <v>61</v>
      </c>
      <c r="C21" s="54" t="s">
        <v>432</v>
      </c>
      <c r="D21" s="54" t="s">
        <v>419</v>
      </c>
      <c r="E21" s="54" t="s">
        <v>419</v>
      </c>
      <c r="F21" s="54"/>
      <c r="G21" s="54"/>
      <c r="H21" s="54" t="s">
        <v>419</v>
      </c>
      <c r="J21" s="480"/>
      <c r="K21" s="482" t="s">
        <v>599</v>
      </c>
      <c r="L21" s="483"/>
      <c r="M21" s="192" t="s">
        <v>472</v>
      </c>
      <c r="N21" s="192" t="s">
        <v>472</v>
      </c>
      <c r="O21" s="192" t="s">
        <v>472</v>
      </c>
      <c r="P21" s="192" t="s">
        <v>472</v>
      </c>
      <c r="Q21" s="192" t="s">
        <v>419</v>
      </c>
      <c r="R21" s="193"/>
      <c r="S21" s="192" t="s">
        <v>472</v>
      </c>
      <c r="T21" s="484"/>
      <c r="U21" s="484"/>
      <c r="V21" s="192" t="s">
        <v>472</v>
      </c>
      <c r="W21" s="193"/>
      <c r="X21" s="193"/>
      <c r="Y21" s="207"/>
      <c r="Z21" s="484"/>
      <c r="AA21" s="484"/>
      <c r="AB21" s="193"/>
      <c r="AC21" s="484"/>
      <c r="AD21" s="484"/>
      <c r="AE21" s="193"/>
      <c r="AF21" s="193"/>
      <c r="AG21" s="132"/>
    </row>
    <row r="22" spans="2:33" x14ac:dyDescent="0.25">
      <c r="B22" s="133">
        <v>64</v>
      </c>
      <c r="C22" s="54" t="s">
        <v>433</v>
      </c>
      <c r="D22" s="54"/>
      <c r="E22" s="54"/>
      <c r="F22" s="54"/>
      <c r="G22" s="54"/>
      <c r="H22" s="54" t="s">
        <v>419</v>
      </c>
      <c r="J22" s="481"/>
      <c r="K22" s="482" t="s">
        <v>600</v>
      </c>
      <c r="L22" s="483"/>
      <c r="M22" s="192" t="s">
        <v>472</v>
      </c>
      <c r="N22" s="192" t="s">
        <v>472</v>
      </c>
      <c r="O22" s="192" t="s">
        <v>472</v>
      </c>
      <c r="P22" s="192" t="s">
        <v>472</v>
      </c>
      <c r="Q22" s="192" t="s">
        <v>540</v>
      </c>
      <c r="R22" s="193"/>
      <c r="S22" s="192" t="s">
        <v>472</v>
      </c>
      <c r="T22" s="484"/>
      <c r="U22" s="484"/>
      <c r="V22" s="192" t="s">
        <v>472</v>
      </c>
      <c r="W22" s="193"/>
      <c r="X22" s="193"/>
      <c r="Y22" s="207"/>
      <c r="Z22" s="484"/>
      <c r="AA22" s="484"/>
      <c r="AB22" s="193"/>
      <c r="AC22" s="484"/>
      <c r="AD22" s="484"/>
      <c r="AE22" s="193"/>
      <c r="AF22" s="193"/>
      <c r="AG22" s="132"/>
    </row>
    <row r="23" spans="2:33" x14ac:dyDescent="0.25">
      <c r="B23" s="133">
        <v>71</v>
      </c>
      <c r="C23" s="54" t="s">
        <v>425</v>
      </c>
      <c r="D23" s="54"/>
      <c r="E23" s="54"/>
      <c r="F23" s="54"/>
      <c r="G23" s="54"/>
      <c r="H23" s="54" t="s">
        <v>419</v>
      </c>
      <c r="J23" s="231" t="s">
        <v>601</v>
      </c>
      <c r="K23" s="230"/>
      <c r="L23" s="230"/>
    </row>
    <row r="24" spans="2:33" ht="15" customHeight="1" x14ac:dyDescent="0.25">
      <c r="J24" s="231"/>
      <c r="K24" s="232"/>
      <c r="L24" s="232"/>
    </row>
    <row r="25" spans="2:33" x14ac:dyDescent="0.25">
      <c r="J25" s="505" t="s">
        <v>596</v>
      </c>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row>
    <row r="26" spans="2:33" x14ac:dyDescent="0.2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row>
  </sheetData>
  <sheetProtection algorithmName="SHA-512" hashValue="QWvYyEe1EwTj1CxdUWsgft8Cm8TyGKL1YQQlF9FfCvNH2J+LJbhpFr04jb92Bu1HldYae7K4iXGxnuAu4qjbkw==" saltValue="ox/RkTGAKArEvmQTIM48CA==" spinCount="100000" sheet="1"/>
  <mergeCells count="59">
    <mergeCell ref="AC20:AD20"/>
    <mergeCell ref="J25:AG26"/>
    <mergeCell ref="K22:L22"/>
    <mergeCell ref="T22:U22"/>
    <mergeCell ref="Z22:AA22"/>
    <mergeCell ref="AC22:AD22"/>
    <mergeCell ref="AE10:AE16"/>
    <mergeCell ref="AF10:AF16"/>
    <mergeCell ref="AG10:AG16"/>
    <mergeCell ref="K17:L17"/>
    <mergeCell ref="T17:U17"/>
    <mergeCell ref="Z17:AA17"/>
    <mergeCell ref="J3:L16"/>
    <mergeCell ref="AC17:AD17"/>
    <mergeCell ref="Z10:AA16"/>
    <mergeCell ref="AB10:AB16"/>
    <mergeCell ref="AC10:AD16"/>
    <mergeCell ref="T9:U9"/>
    <mergeCell ref="Z9:AA9"/>
    <mergeCell ref="AC9:AD9"/>
    <mergeCell ref="AG3:AG6"/>
    <mergeCell ref="M7:O7"/>
    <mergeCell ref="W10:W16"/>
    <mergeCell ref="X10:X16"/>
    <mergeCell ref="Y10:Y16"/>
    <mergeCell ref="M10:M16"/>
    <mergeCell ref="N10:N16"/>
    <mergeCell ref="O10:O16"/>
    <mergeCell ref="P10:P16"/>
    <mergeCell ref="Q10:Q16"/>
    <mergeCell ref="R10:R16"/>
    <mergeCell ref="S10:S16"/>
    <mergeCell ref="T10:U16"/>
    <mergeCell ref="V10:V16"/>
    <mergeCell ref="M3:AF6"/>
    <mergeCell ref="P7:Q7"/>
    <mergeCell ref="R7:AA7"/>
    <mergeCell ref="AB7:AF7"/>
    <mergeCell ref="AG7:AG8"/>
    <mergeCell ref="M8:O8"/>
    <mergeCell ref="P8:Q8"/>
    <mergeCell ref="R8:AA8"/>
    <mergeCell ref="AB8:AF8"/>
    <mergeCell ref="J17:J22"/>
    <mergeCell ref="K21:L21"/>
    <mergeCell ref="T21:U21"/>
    <mergeCell ref="Z21:AA21"/>
    <mergeCell ref="AC21:AD21"/>
    <mergeCell ref="K18:L18"/>
    <mergeCell ref="T18:U18"/>
    <mergeCell ref="K19:L19"/>
    <mergeCell ref="AC19:AD19"/>
    <mergeCell ref="Z19:AA19"/>
    <mergeCell ref="T19:U19"/>
    <mergeCell ref="Z18:AA18"/>
    <mergeCell ref="AC18:AD18"/>
    <mergeCell ref="K20:L20"/>
    <mergeCell ref="T20:U20"/>
    <mergeCell ref="Z20:AA2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ppdragsdokument" ma:contentTypeID="0x0101005319FDAC0FB39D489BBD2D41398492910040F6225090DA4E46A8A112AB86FBDFC4" ma:contentTypeVersion="6" ma:contentTypeDescription="Opprett et nytt dokument." ma:contentTypeScope="" ma:versionID="828ecd4c927a3ad16fa18607127be549">
  <xsd:schema xmlns:xsd="http://www.w3.org/2001/XMLSchema" xmlns:xs="http://www.w3.org/2001/XMLSchema" xmlns:p="http://schemas.microsoft.com/office/2006/metadata/properties" xmlns:ns2="2e66bf1d-ca1b-45fd-a278-e21289e0d61d" xmlns:ns3="1c6c5655-0de4-4762-b3e6-24ea007e64b9" targetNamespace="http://schemas.microsoft.com/office/2006/metadata/properties" ma:root="true" ma:fieldsID="80a6274f56763057e5795cc6259141d4" ns2:_="" ns3:_="">
    <xsd:import namespace="2e66bf1d-ca1b-45fd-a278-e21289e0d61d"/>
    <xsd:import namespace="1c6c5655-0de4-4762-b3e6-24ea007e64b9"/>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element ref="ns3:Platform" minOccurs="0"/>
                <xsd:element ref="ns2:Dokumentstatus"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bf1d-ca1b-45fd-a278-e21289e0d61d"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dexed="true"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c590b44a-4a6b-451f-9669-7b6911553bdf}"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element name="Dokumentstatus" ma:index="17" nillable="true" ma:displayName="Dokumentstatus" ma:default="Utkast" ma:format="Dropdown" ma:internalName="Dokumentstatus">
      <xsd:simpleType>
        <xsd:restriction base="dms:Choice">
          <xsd:enumeration value="Utkast"/>
          <xsd:enumeration value="Utgitt"/>
          <xsd:enumeration value="Inngått"/>
        </xsd:restriction>
      </xsd:simpleType>
    </xsd:element>
  </xsd:schema>
  <xsd:schema xmlns:xsd="http://www.w3.org/2001/XMLSchema" xmlns:xs="http://www.w3.org/2001/XMLSchema" xmlns:dms="http://schemas.microsoft.com/office/2006/documentManagement/types" xmlns:pc="http://schemas.microsoft.com/office/infopath/2007/PartnerControls" targetNamespace="1c6c5655-0de4-4762-b3e6-24ea007e64b9" elementFormDefault="qualified">
    <xsd:import namespace="http://schemas.microsoft.com/office/2006/documentManagement/types"/>
    <xsd:import namespace="http://schemas.microsoft.com/office/infopath/2007/PartnerControls"/>
    <xsd:element name="Platform" ma:index="16" nillable="true" ma:displayName="Platform" ma:default="BikubeOnline" ma:internalName="Platform" ma:readOnly="false">
      <xsd:simpleType>
        <xsd:restriction base="dms:Text"/>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kumenttema xmlns="2e66bf1d-ca1b-45fd-a278-e21289e0d61d" xsi:nil="true"/>
    <Revisjon xmlns="2e66bf1d-ca1b-45fd-a278-e21289e0d61d" xsi:nil="true"/>
    <RevisjonsDato xmlns="2e66bf1d-ca1b-45fd-a278-e21289e0d61d" xsi:nil="true"/>
    <Platform xmlns="1c6c5655-0de4-4762-b3e6-24ea007e64b9">BikubeOnline</Platform>
    <_dlc_DocId xmlns="2e66bf1d-ca1b-45fd-a278-e21289e0d61d">4VWHYVSYTX7U-1208574461-20</_dlc_DocId>
    <_dlc_DocIdUrl xmlns="2e66bf1d-ca1b-45fd-a278-e21289e0d61d">
      <Url>https://asplanviak.sharepoint.com/sites/653706-01/_layouts/15/DocIdRedir.aspx?ID=4VWHYVSYTX7U-1208574461-20</Url>
      <Description>4VWHYVSYTX7U-1208574461-20</Description>
    </_dlc_DocIdUrl>
    <ChannelName xmlns="2e66bf1d-ca1b-45fd-a278-e21289e0d61d">General</ChannelName>
    <Oppdragsnummer xmlns="2e66bf1d-ca1b-45fd-a278-e21289e0d61d">640685-01</Oppdragsnummer>
    <Dokumentstatus xmlns="2e66bf1d-ca1b-45fd-a278-e21289e0d61d">Utkast</Dokumentstatus>
  </documentManagement>
</p:properties>
</file>

<file path=customXml/itemProps1.xml><?xml version="1.0" encoding="utf-8"?>
<ds:datastoreItem xmlns:ds="http://schemas.openxmlformats.org/officeDocument/2006/customXml" ds:itemID="{17C78CA5-171F-4F8E-BC4A-97A49F26D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bf1d-ca1b-45fd-a278-e21289e0d61d"/>
    <ds:schemaRef ds:uri="1c6c5655-0de4-4762-b3e6-24ea007e64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581EAC-A4CF-4750-95D2-F5461C9D0029}">
  <ds:schemaRefs>
    <ds:schemaRef ds:uri="http://schemas.microsoft.com/sharepoint/events"/>
  </ds:schemaRefs>
</ds:datastoreItem>
</file>

<file path=customXml/itemProps3.xml><?xml version="1.0" encoding="utf-8"?>
<ds:datastoreItem xmlns:ds="http://schemas.openxmlformats.org/officeDocument/2006/customXml" ds:itemID="{CDF12CF3-1C20-4FCA-8E78-DDE15BA91362}">
  <ds:schemaRefs>
    <ds:schemaRef ds:uri="http://schemas.microsoft.com/sharepoint/v3/contenttype/forms"/>
  </ds:schemaRefs>
</ds:datastoreItem>
</file>

<file path=customXml/itemProps4.xml><?xml version="1.0" encoding="utf-8"?>
<ds:datastoreItem xmlns:ds="http://schemas.openxmlformats.org/officeDocument/2006/customXml" ds:itemID="{14473A54-5851-46B2-B0F6-9013428D3799}">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1c6c5655-0de4-4762-b3e6-24ea007e64b9"/>
    <ds:schemaRef ds:uri="http://purl.org/dc/dcmitype/"/>
    <ds:schemaRef ds:uri="2e66bf1d-ca1b-45fd-a278-e21289e0d61d"/>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Guide</vt:lpstr>
      <vt:lpstr>Verktøy</vt:lpstr>
      <vt:lpstr>Tabellinput</vt:lpstr>
      <vt:lpstr>Detaljerte resultater</vt:lpstr>
      <vt:lpstr>Utslippstall modellbygg</vt:lpstr>
      <vt:lpstr>Nedtrekksmenyer</vt:lpstr>
      <vt:lpstr>Modellbygg og utslippsfaktorer</vt:lpstr>
      <vt:lpstr>Løsningsvalg modellbygg</vt:lpstr>
      <vt:lpstr>Ulike krav &amp; sertifiseringer</vt:lpstr>
      <vt:lpstr>Definisjon av BTA, BRA og BYA</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Oddbjørn Dahlstrøm Andvik</dc:creator>
  <cp:keywords/>
  <dc:description/>
  <cp:lastModifiedBy>Oddbjørn Dahlstrøm Andvik</cp:lastModifiedBy>
  <cp:revision/>
  <dcterms:created xsi:type="dcterms:W3CDTF">2023-05-08T12:55:29Z</dcterms:created>
  <dcterms:modified xsi:type="dcterms:W3CDTF">2026-03-09T08:35:58Z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0x0101005319FDAC0FB39D489BBD2D41398492910040F6225090DA4E46A8A112AB86FBDFC4</vt:lpwstr>
  </property>
  <property fmtid="{D5CDD505-2E9C-101B-9397-08002B2CF9AE}" pid="3" name="_dlc_DocIdItemGuid">
    <vt:lpwstr>0f3cadfa-ba9a-416a-84bb-b5bf19c91de1</vt:lpwstr>
  </property>
</Properties>
</file>