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14"/>
  <workbookPr/>
  <mc:AlternateContent xmlns:mc="http://schemas.openxmlformats.org/markup-compatibility/2006">
    <mc:Choice Requires="x15">
      <x15ac:absPath xmlns:x15ac="http://schemas.microsoft.com/office/spreadsheetml/2010/11/ac" url="I:\Kommunalteknikk\03 Prosjekt\Prosjekter\7311-8440 Tilskudd MD Utslippsfrie anlegg for sanering av VVA\"/>
    </mc:Choice>
  </mc:AlternateContent>
  <xr:revisionPtr revIDLastSave="27" documentId="8_{0A114A8B-6D94-4954-81DE-3A8FC8C57842}" xr6:coauthVersionLast="47" xr6:coauthVersionMax="47" xr10:uidLastSave="{8EC4AD90-E23D-A644-B41C-D0BD9278B329}"/>
  <bookViews>
    <workbookView xWindow="0" yWindow="0" windowWidth="38400" windowHeight="21000" activeTab="2" xr2:uid="{D69FBB23-9771-4AE4-96C2-D1DBDD485A07}"/>
  </bookViews>
  <sheets>
    <sheet name="Forside" sheetId="25" r:id="rId1"/>
    <sheet name="Brukerveiledning" sheetId="1" r:id="rId2"/>
    <sheet name="INPUT" sheetId="18" r:id="rId3"/>
    <sheet name="Grøft med dieseldrevet utstyr" sheetId="20" r:id="rId4"/>
    <sheet name="Grøft med elektrisk utstyr" sheetId="21" r:id="rId5"/>
    <sheet name="NO-dig med blokking" sheetId="22" r:id="rId6"/>
    <sheet name="NO-dig med strømpe" sheetId="23" r:id="rId7"/>
    <sheet name="Rør spesifikasjoner" sheetId="15" r:id="rId8"/>
    <sheet name="Kummer og strømper" sheetId="24" r:id="rId9"/>
    <sheet name="Valg" sheetId="19" r:id="rId10"/>
  </sheets>
  <definedNames>
    <definedName name="Dimensjoner_mat">'Rør spesifikasjoner'!$H$2:$H$65</definedName>
    <definedName name="Materialer">Valg!#REF!</definedName>
    <definedName name="Materialer_dim">'Rør spesifikasjoner'!$G$2:$G$65</definedName>
    <definedName name="Metode">Valg!#REF!</definedName>
    <definedName name="NOdig">Valg!$J$2</definedName>
    <definedName name="NOdigmaterialer">'Rør spesifikasjoner'!#REF!</definedName>
    <definedName name="Valg">INPUT!$C$11</definedName>
    <definedName name="Velgmateriale">'Rør spesifikasjoner'!#REF!</definedName>
    <definedName name="Åpen">Valg!$F$2:$F$8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2" i="23" l="1"/>
  <c r="F21" i="23"/>
  <c r="C31" i="22"/>
  <c r="C30" i="22"/>
  <c r="C29" i="22"/>
  <c r="C28" i="22"/>
  <c r="C27" i="22"/>
  <c r="C26" i="22"/>
  <c r="C25" i="22"/>
  <c r="C15" i="22"/>
  <c r="C14" i="22"/>
  <c r="C13" i="22"/>
  <c r="C12" i="22"/>
  <c r="C11" i="22"/>
  <c r="C10" i="22"/>
  <c r="C9" i="22"/>
  <c r="Q23" i="15"/>
  <c r="Q22" i="15"/>
  <c r="Q21" i="15"/>
  <c r="Q20" i="15"/>
  <c r="K33" i="15"/>
  <c r="Q19" i="15"/>
  <c r="Q18" i="15"/>
  <c r="L48" i="19" a="1"/>
  <c r="L48" i="19"/>
  <c r="K48" i="19" a="1"/>
  <c r="K48" i="19"/>
  <c r="J48" i="19" a="1"/>
  <c r="J48" i="19"/>
  <c r="I48" i="19" a="1"/>
  <c r="I48" i="19"/>
  <c r="H48" i="19" a="1"/>
  <c r="H48" i="19"/>
  <c r="G48" i="19" a="1"/>
  <c r="G48" i="19"/>
  <c r="F48" i="19" a="1"/>
  <c r="F48" i="19"/>
  <c r="I30" i="15"/>
  <c r="I31" i="15"/>
  <c r="I32" i="15"/>
  <c r="I28" i="15"/>
  <c r="Q17" i="15"/>
  <c r="Q16" i="15"/>
  <c r="Q15" i="15"/>
  <c r="Q14" i="15"/>
  <c r="Q13" i="15"/>
  <c r="Q12" i="15"/>
  <c r="Q11" i="15"/>
  <c r="Q10" i="15"/>
  <c r="Q9" i="15"/>
  <c r="Q8" i="15"/>
  <c r="D15" i="22"/>
  <c r="Q7" i="15"/>
  <c r="Q6" i="15"/>
  <c r="Q5" i="15"/>
  <c r="D14" i="22"/>
  <c r="Q4" i="15"/>
  <c r="Q3" i="15"/>
  <c r="Q2" i="15"/>
  <c r="I34" i="15"/>
  <c r="I39" i="15"/>
  <c r="I38" i="15"/>
  <c r="I35" i="15"/>
  <c r="I26" i="15"/>
  <c r="I25" i="15"/>
  <c r="D29" i="22"/>
  <c r="D30" i="22"/>
  <c r="D31" i="22"/>
  <c r="E29" i="22"/>
  <c r="E30" i="22"/>
  <c r="E31" i="22"/>
  <c r="D88" i="21"/>
  <c r="D89" i="21"/>
  <c r="D90" i="21"/>
  <c r="C90" i="21" a="1"/>
  <c r="C90" i="21"/>
  <c r="E90" i="21"/>
  <c r="C89" i="21" a="1"/>
  <c r="C89" i="21"/>
  <c r="E89" i="21"/>
  <c r="C88" i="21" a="1"/>
  <c r="C88" i="21"/>
  <c r="E88" i="21"/>
  <c r="C66" i="21" a="1"/>
  <c r="C66" i="21"/>
  <c r="D66" i="21"/>
  <c r="D88" i="20"/>
  <c r="D89" i="20"/>
  <c r="D90" i="20"/>
  <c r="C90" i="20" a="1"/>
  <c r="C90" i="20"/>
  <c r="E90" i="20"/>
  <c r="C89" i="20" a="1"/>
  <c r="C89" i="20"/>
  <c r="E89" i="20"/>
  <c r="C88" i="20" a="1"/>
  <c r="C88" i="20"/>
  <c r="E88" i="20"/>
  <c r="C66" i="20" a="1"/>
  <c r="C66" i="20"/>
  <c r="D66" i="20"/>
  <c r="I37" i="15"/>
  <c r="E26" i="22"/>
  <c r="C87" i="21" a="1"/>
  <c r="C87" i="21"/>
  <c r="E87" i="21"/>
  <c r="C86" i="21" a="1"/>
  <c r="C86" i="21"/>
  <c r="C85" i="21" a="1"/>
  <c r="C85" i="21"/>
  <c r="C84" i="21" a="1"/>
  <c r="C84" i="21"/>
  <c r="C87" i="20" a="1"/>
  <c r="C87" i="20"/>
  <c r="C86" i="20" a="1"/>
  <c r="C86" i="20"/>
  <c r="C85" i="20" a="1"/>
  <c r="C85" i="20"/>
  <c r="C84" i="20" a="1"/>
  <c r="C84" i="20"/>
  <c r="I60" i="15"/>
  <c r="I61" i="15"/>
  <c r="I62" i="15"/>
  <c r="I63" i="15"/>
  <c r="I64" i="15"/>
  <c r="I65" i="15"/>
  <c r="I66" i="15"/>
  <c r="I67" i="15"/>
  <c r="I59" i="15"/>
  <c r="I58" i="15"/>
  <c r="I57" i="15"/>
  <c r="I56" i="15"/>
  <c r="I55" i="15"/>
  <c r="I54" i="15"/>
  <c r="I53" i="15"/>
  <c r="I52" i="15"/>
  <c r="I51" i="15"/>
  <c r="I50" i="15"/>
  <c r="I49" i="15"/>
  <c r="I48" i="15"/>
  <c r="I47" i="15"/>
  <c r="I46" i="15"/>
  <c r="I45" i="15"/>
  <c r="I44" i="15"/>
  <c r="I43" i="15"/>
  <c r="I41" i="15"/>
  <c r="I40" i="15"/>
  <c r="I33" i="15"/>
  <c r="I29" i="15"/>
  <c r="I27" i="15"/>
  <c r="I24" i="15"/>
  <c r="I21" i="15"/>
  <c r="I15" i="15"/>
  <c r="I18" i="15"/>
  <c r="E28" i="22"/>
  <c r="E27" i="22"/>
  <c r="E25" i="22"/>
  <c r="I17" i="15"/>
  <c r="I16" i="15"/>
  <c r="I14" i="15"/>
  <c r="I13" i="15"/>
  <c r="C63" i="21" a="1"/>
  <c r="C63" i="21"/>
  <c r="I12" i="15"/>
  <c r="I11" i="15"/>
  <c r="I10" i="15"/>
  <c r="C62" i="20" a="1"/>
  <c r="C62" i="20"/>
  <c r="I9" i="15"/>
  <c r="B126" i="20"/>
  <c r="E127" i="21"/>
  <c r="B100" i="20"/>
  <c r="C100" i="20"/>
  <c r="C29" i="20"/>
  <c r="C47" i="20"/>
  <c r="C48" i="20"/>
  <c r="C50" i="20"/>
  <c r="C74" i="20"/>
  <c r="C123" i="20"/>
  <c r="C124" i="20"/>
  <c r="D105" i="21"/>
  <c r="C47" i="21"/>
  <c r="C60" i="22"/>
  <c r="E20" i="23"/>
  <c r="I2" i="15"/>
  <c r="C60" i="20" a="1"/>
  <c r="C60" i="20"/>
  <c r="L47" i="22"/>
  <c r="D13" i="22"/>
  <c r="C64" i="21" a="1"/>
  <c r="C64" i="21"/>
  <c r="D64" i="21"/>
  <c r="C64" i="20" a="1"/>
  <c r="C64" i="20"/>
  <c r="D64" i="20"/>
  <c r="C65" i="20" a="1"/>
  <c r="C65" i="20"/>
  <c r="D65" i="20"/>
  <c r="C65" i="21" a="1"/>
  <c r="C65" i="21"/>
  <c r="D65" i="21"/>
  <c r="C63" i="20" a="1"/>
  <c r="C63" i="20"/>
  <c r="C62" i="21" a="1"/>
  <c r="C62" i="21"/>
  <c r="C60" i="21" a="1"/>
  <c r="C60" i="21"/>
  <c r="D74" i="20"/>
  <c r="E74" i="20"/>
  <c r="C96" i="21"/>
  <c r="C48" i="21"/>
  <c r="C96" i="20"/>
  <c r="C59" i="22"/>
  <c r="L49" i="22"/>
  <c r="L48" i="22"/>
  <c r="L44" i="22"/>
  <c r="D60" i="22"/>
  <c r="L51" i="22"/>
  <c r="C44" i="22"/>
  <c r="D44" i="22"/>
  <c r="D59" i="22"/>
  <c r="E59" i="22"/>
  <c r="F59" i="22"/>
  <c r="C105" i="20"/>
  <c r="C104" i="20"/>
  <c r="I7" i="15"/>
  <c r="I8" i="15"/>
  <c r="I19" i="15"/>
  <c r="C74" i="21"/>
  <c r="D104" i="20"/>
  <c r="E104" i="20"/>
  <c r="I3" i="15"/>
  <c r="I4" i="15"/>
  <c r="I5" i="15"/>
  <c r="I6" i="15"/>
  <c r="I20" i="15"/>
  <c r="I22" i="15"/>
  <c r="I23" i="15"/>
  <c r="D60" i="21"/>
  <c r="I36" i="15"/>
  <c r="I42" i="15"/>
  <c r="C61" i="20" a="1"/>
  <c r="C61" i="20"/>
  <c r="C61" i="21" a="1"/>
  <c r="C61" i="21"/>
  <c r="D12" i="22"/>
  <c r="D11" i="22"/>
  <c r="D10" i="22"/>
  <c r="D9" i="22"/>
  <c r="D60" i="20"/>
  <c r="C45" i="22"/>
  <c r="D45" i="22"/>
  <c r="C46" i="22"/>
  <c r="D46" i="22"/>
  <c r="D28" i="22"/>
  <c r="C29" i="21"/>
  <c r="C50" i="21"/>
  <c r="B115" i="21" a="1"/>
  <c r="B115" i="21"/>
  <c r="C115" i="21"/>
  <c r="D87" i="21"/>
  <c r="D63" i="21"/>
  <c r="D87" i="20"/>
  <c r="E87" i="20"/>
  <c r="D63" i="20"/>
  <c r="B115" i="20" a="1"/>
  <c r="B115" i="20"/>
  <c r="C115" i="20"/>
  <c r="B114" i="20" a="1"/>
  <c r="B114" i="20"/>
  <c r="C114" i="20"/>
  <c r="C61" i="22"/>
  <c r="D61" i="22"/>
  <c r="E22" i="23"/>
  <c r="E21" i="23"/>
  <c r="C22" i="23"/>
  <c r="C21" i="23"/>
  <c r="C20" i="23"/>
  <c r="F10" i="23"/>
  <c r="F9" i="23"/>
  <c r="F8" i="23"/>
  <c r="G10" i="23"/>
  <c r="G9" i="23"/>
  <c r="G8" i="23"/>
  <c r="H8" i="23"/>
  <c r="E10" i="23" a="1"/>
  <c r="E10" i="23"/>
  <c r="E9" i="23" a="1"/>
  <c r="E9" i="23"/>
  <c r="E8" i="23" a="1"/>
  <c r="E8" i="23"/>
  <c r="D10" i="23" a="1"/>
  <c r="D10" i="23"/>
  <c r="D9" i="23" a="1"/>
  <c r="D9" i="23"/>
  <c r="D8" i="23" a="1"/>
  <c r="D8" i="23"/>
  <c r="C10" i="23" a="1"/>
  <c r="C10" i="23"/>
  <c r="C9" i="23" a="1"/>
  <c r="C9" i="23"/>
  <c r="C8" i="23" a="1"/>
  <c r="C8" i="23"/>
  <c r="H9" i="23"/>
  <c r="I9" i="23"/>
  <c r="I8" i="23"/>
  <c r="E128" i="21"/>
  <c r="H10" i="23"/>
  <c r="D22" i="23"/>
  <c r="E61" i="22"/>
  <c r="F61" i="22"/>
  <c r="E60" i="22"/>
  <c r="F60" i="22"/>
  <c r="D21" i="23"/>
  <c r="F62" i="22"/>
  <c r="I10" i="23"/>
  <c r="I11" i="23"/>
  <c r="D20" i="23"/>
  <c r="F20" i="23"/>
  <c r="F23" i="23"/>
  <c r="I78" i="18"/>
  <c r="D26" i="22"/>
  <c r="D27" i="22"/>
  <c r="D25" i="22"/>
  <c r="B114" i="21" a="1"/>
  <c r="B114" i="21"/>
  <c r="C114" i="21"/>
  <c r="B113" i="21" a="1"/>
  <c r="B113" i="21"/>
  <c r="C113" i="21"/>
  <c r="C105" i="21"/>
  <c r="C104" i="21"/>
  <c r="D86" i="21"/>
  <c r="E86" i="21"/>
  <c r="D85" i="21"/>
  <c r="D84" i="21"/>
  <c r="D85" i="20"/>
  <c r="E85" i="20"/>
  <c r="D86" i="20"/>
  <c r="E86" i="20"/>
  <c r="D84" i="20"/>
  <c r="E84" i="20"/>
  <c r="B113" i="20" a="1"/>
  <c r="B113" i="20"/>
  <c r="C113" i="20"/>
  <c r="C116" i="20"/>
  <c r="C116" i="21"/>
  <c r="D105" i="20"/>
  <c r="E105" i="20"/>
  <c r="E85" i="21"/>
  <c r="E84" i="21"/>
  <c r="D62" i="21"/>
  <c r="D61" i="21"/>
  <c r="D62" i="20"/>
  <c r="D61" i="20"/>
  <c r="E32" i="22"/>
  <c r="D104" i="21"/>
  <c r="C100" i="21"/>
  <c r="B100" i="21"/>
  <c r="E105" i="21"/>
  <c r="E104" i="21"/>
  <c r="E75" i="20"/>
  <c r="D74" i="21"/>
  <c r="E74" i="21"/>
  <c r="E75" i="21"/>
  <c r="E106" i="21"/>
  <c r="E106" i="20"/>
  <c r="D47" i="22"/>
  <c r="C8" i="21"/>
  <c r="C12" i="21"/>
  <c r="D12" i="21"/>
  <c r="D13" i="21"/>
  <c r="D67" i="21"/>
  <c r="E91" i="21"/>
  <c r="C8" i="20"/>
  <c r="C37" i="21"/>
  <c r="C38" i="21"/>
  <c r="C40" i="21"/>
  <c r="C52" i="21"/>
  <c r="I72" i="18"/>
  <c r="D16" i="22"/>
  <c r="I74" i="18"/>
  <c r="C37" i="20"/>
  <c r="C38" i="20"/>
  <c r="C40" i="20"/>
  <c r="C52" i="20"/>
  <c r="C12" i="20"/>
  <c r="D12" i="20"/>
  <c r="D13" i="20"/>
  <c r="E91" i="20"/>
  <c r="I76" i="18"/>
  <c r="D67" i="20"/>
  <c r="I70" i="18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<sst xmlns="http://schemas.openxmlformats.org/spreadsheetml/2006/main" count="1027" uniqueCount="283">
  <si>
    <t>FORENKLEDE KLIMAGASSBEREGNINGER I TIDLIG FASE</t>
  </si>
  <si>
    <t>OMRÅDE/AVROP/KONTRAKT:</t>
  </si>
  <si>
    <t>INPUT</t>
  </si>
  <si>
    <t>Grå felter fylles inn automatisk.</t>
  </si>
  <si>
    <t>Oransje felter skal fylles ut.</t>
  </si>
  <si>
    <t xml:space="preserve">Forenklede klimagassberegninger kan brukes til vurderinger i tidlig fase/forprosjekt for å vise overordnede klimagassutslipp for ulike gjennomføringsmetoder. Dette omfatter klimagassutslipp fra materialer, transport, maskiner og graving. Beregningsverktøyet bør kun brukes internt til å vurdere ulike gjennomføringsmetoder og materialer, ikke for klimadokumentasjon. </t>
  </si>
  <si>
    <t>Utslippsfaktorer og beregningsfaktorer er i stor grad hentet fra VegLCA v5.14b, samt Norsk Vann, EPDer og informasjon fra leverandører av rør.</t>
  </si>
  <si>
    <t>Spesifikasjoner:</t>
  </si>
  <si>
    <t>Drivstoff:</t>
  </si>
  <si>
    <t>Det er kun lagt til grunn anleggsdiesel iht. omsetningskrav som er fossil diesel med en innblandet andel konvensjonelt og avansert biodiesel basert på omsetningskravet for anleggsdiesel eller 100% biodiesel dersom dette velges i INPUT.</t>
  </si>
  <si>
    <t>Merk: Mdir og DFØ anbefaler ikke at biodrivstoff brukes som klimatiltak i offentlige anskaffelser, som følge av omsetningskravet.</t>
  </si>
  <si>
    <t>Nullutslipp bør prioriteres i offentlige anskaffelser | Anskaffelser.no</t>
  </si>
  <si>
    <t>Grøft med elektrisk graveutstyr:</t>
  </si>
  <si>
    <t>Det er kun graving som er elektrisk. Asfaltering, transport av masser og materialer etc. er lagt inn som dieseldrevet.</t>
  </si>
  <si>
    <t>NO-dig:</t>
  </si>
  <si>
    <t>For beregning av utslipp for rør for NO-dig med blokking hentes kun PE rør.</t>
  </si>
  <si>
    <t>Erfaringstall for antall timer med graving per stikk er lagt til grunn ved NO-dig med blokking.</t>
  </si>
  <si>
    <t>For NO-dig med blokking utført med elektrisk graveutstyr er det kun graving som er elektrisk, ikke transport av materialer.</t>
  </si>
  <si>
    <t>For NO-dig med strømpe er det kun materialer og transport som er inkludert i beregningene (A1-A4).</t>
  </si>
  <si>
    <t xml:space="preserve">Gjenbruk av masser: </t>
  </si>
  <si>
    <t>Gjenbruk av masser er lagt inn som en forutsetning ved etablering av tradisjonell grøft med enten dieseldrene eller elektriske maskiner. Halvparten gjenbrukes ved grøft i vei og to tredjedeler ved grøft i terreng.</t>
  </si>
  <si>
    <t>Input</t>
  </si>
  <si>
    <t>Grå felter fylles inn automatisk</t>
  </si>
  <si>
    <t>Felter for innfylling</t>
  </si>
  <si>
    <t>Grøft i terreng</t>
  </si>
  <si>
    <t>Drivstoff</t>
  </si>
  <si>
    <t>Lengde grøft</t>
  </si>
  <si>
    <t>lm</t>
  </si>
  <si>
    <t>100 % biodrivstoff</t>
  </si>
  <si>
    <t xml:space="preserve"> (Sett X i cellen)</t>
  </si>
  <si>
    <t>Gravedybde</t>
  </si>
  <si>
    <t>m</t>
  </si>
  <si>
    <t>Bunnbredde</t>
  </si>
  <si>
    <t>Merk: Regnearket tar hensyn til innblanding av biodiesel basert på omsetningskrav dersom cellen over ikke fylles ut.</t>
  </si>
  <si>
    <t>Meter med vegetasjonsrydding</t>
  </si>
  <si>
    <t>Grøft i vei</t>
  </si>
  <si>
    <t>Tykkelse asfalt</t>
  </si>
  <si>
    <t>mm</t>
  </si>
  <si>
    <t>Rør</t>
  </si>
  <si>
    <t>Materiale</t>
  </si>
  <si>
    <t>Dimensjon (mm)</t>
  </si>
  <si>
    <t>Rørlengde (m)</t>
  </si>
  <si>
    <t>Rør 1</t>
  </si>
  <si>
    <t>Betong</t>
  </si>
  <si>
    <t>NO-dig henter kun PE-rør.</t>
  </si>
  <si>
    <t>Rør 2</t>
  </si>
  <si>
    <t>Rustfritt stål</t>
  </si>
  <si>
    <t>Rør 3</t>
  </si>
  <si>
    <t>PE</t>
  </si>
  <si>
    <t>Rør 4</t>
  </si>
  <si>
    <t>Rør 5</t>
  </si>
  <si>
    <t>PVC</t>
  </si>
  <si>
    <t>Rør 6</t>
  </si>
  <si>
    <t>Rør 7</t>
  </si>
  <si>
    <t>Kummer</t>
  </si>
  <si>
    <t>Antall</t>
  </si>
  <si>
    <t>Vannkummer</t>
  </si>
  <si>
    <t>Plast</t>
  </si>
  <si>
    <t>Spill- og overvannskummer</t>
  </si>
  <si>
    <t>Sandfangkummer</t>
  </si>
  <si>
    <t>NO-dig med blokking</t>
  </si>
  <si>
    <t>Antall stikk</t>
  </si>
  <si>
    <t xml:space="preserve">stk. </t>
  </si>
  <si>
    <t>Antall blokkegroper</t>
  </si>
  <si>
    <t>Antall trekkegroper</t>
  </si>
  <si>
    <t>NO-dig med stømpe</t>
  </si>
  <si>
    <t>Diameter (mm)</t>
  </si>
  <si>
    <t>Lengde (m)</t>
  </si>
  <si>
    <t>Strømpe 1</t>
  </si>
  <si>
    <t>Glassfiber</t>
  </si>
  <si>
    <t>Strømpe 2</t>
  </si>
  <si>
    <t>Filt</t>
  </si>
  <si>
    <t>Strømpe 3</t>
  </si>
  <si>
    <t>Transport</t>
  </si>
  <si>
    <t>Transport materialer</t>
  </si>
  <si>
    <t>km</t>
  </si>
  <si>
    <t>50 km standardverdi</t>
  </si>
  <si>
    <t>Transport masser</t>
  </si>
  <si>
    <t>20 km standardverdi</t>
  </si>
  <si>
    <t>Transport asfalt</t>
  </si>
  <si>
    <t>Gjennomføringsmetode</t>
  </si>
  <si>
    <t>Totalt utslipp kg CO2e</t>
  </si>
  <si>
    <t>Tradisjonell grøft utført med konvensjonelt dieseldrevet graveutstyr, inkludert materialer, transport og graving (A1-A5)</t>
  </si>
  <si>
    <t>Tradisjonell grøft utført med elektrifisert graveutstyr (kun graving er elektrisk), inkludert materialer, transport og graving (A1-A5)</t>
  </si>
  <si>
    <t>NO-dig grøft utført med blokking med konvensjonelt utstyr (diesel), inkludert materialer, PE-ledninger og punktgraving for stikk og kummer (A1-A5)</t>
  </si>
  <si>
    <t>NO-dig grøft utført med blokking med elektrisk utstyr, inkludert materialer, PE-ledninger, punktgraving for stikk og kummer (A1-A5)</t>
  </si>
  <si>
    <t>NO-dig med strømpe, kun inkludert materialer og transport (A1-A4)</t>
  </si>
  <si>
    <t>Tradisjonell grøft utført med konvensjonelt graveutstyr (diesel)</t>
  </si>
  <si>
    <t>VEGETASJONSRYDDING</t>
  </si>
  <si>
    <t>Utslippsfaktor vegetasjonsrydding, lav bonitet</t>
  </si>
  <si>
    <t>kg CO₂/m2</t>
  </si>
  <si>
    <t>VegLCA v5.14b</t>
  </si>
  <si>
    <t>Toppbredde beregnet etter bunnbredde</t>
  </si>
  <si>
    <t>1&gt;1,5 helning</t>
  </si>
  <si>
    <t>Areal</t>
  </si>
  <si>
    <t>Utslipp vegetasjonsrydding</t>
  </si>
  <si>
    <t>m2</t>
  </si>
  <si>
    <t>kg CO2</t>
  </si>
  <si>
    <t>Fjerning av vegetasjon, lav bonitet</t>
  </si>
  <si>
    <t>TOTALT</t>
  </si>
  <si>
    <t>FJERNE OG LEGGE ASFALT (A1-A5)</t>
  </si>
  <si>
    <t>Utslippsfaktorer og beregningsfaktorer</t>
  </si>
  <si>
    <t xml:space="preserve">Tetthet/egenvekt asfalt </t>
  </si>
  <si>
    <t>tonn/m3</t>
  </si>
  <si>
    <t>Fresing av asfalt</t>
  </si>
  <si>
    <t>l diesel/tonn</t>
  </si>
  <si>
    <t>Utslippsfaktor anleggsdiesel (Innblanding biodiesel basert på omsetningskrav, B10)</t>
  </si>
  <si>
    <t>kg CO2e/liter</t>
  </si>
  <si>
    <t>Utslippsfaktor anleggsdiesel (Konvensjonelt biodrivstoff, 100% biodiesel)</t>
  </si>
  <si>
    <t>Utslippsfaktor asfaltert grus (A1-A3)</t>
  </si>
  <si>
    <t>kg CO2e/tonn</t>
  </si>
  <si>
    <t>Utslippsfaktor materialtransport (A4)</t>
  </si>
  <si>
    <t>kg CO₂e/tkm</t>
  </si>
  <si>
    <t>Legging av asfalt (A5)</t>
  </si>
  <si>
    <t>Fjerne eksisterende asfalt</t>
  </si>
  <si>
    <t>Volum asfalt som skal fjernes</t>
  </si>
  <si>
    <t>m3</t>
  </si>
  <si>
    <t>Mengde asfalt som skal fjernes</t>
  </si>
  <si>
    <t>tonn</t>
  </si>
  <si>
    <t>Utslipp fjerne asfalt</t>
  </si>
  <si>
    <t>kg CO2e</t>
  </si>
  <si>
    <t>Legge asfalt ifm. etablering av vei</t>
  </si>
  <si>
    <t>Vei</t>
  </si>
  <si>
    <t>Fortau</t>
  </si>
  <si>
    <t>Bredde</t>
  </si>
  <si>
    <t>Volum asfalt som skal legges</t>
  </si>
  <si>
    <t>Mengde asfalt som skal legges</t>
  </si>
  <si>
    <t>Utslipp asfalt og legging (inkl. Materialer, produksjon og transport)</t>
  </si>
  <si>
    <t>MATERIALER OG PRODUKSJON (A1-A3)</t>
  </si>
  <si>
    <t>Utslippsfaktor (A1-A3)</t>
  </si>
  <si>
    <t>Utslipp materialproduksjon</t>
  </si>
  <si>
    <t>kg CO₂e/m</t>
  </si>
  <si>
    <t>kg CO₂e</t>
  </si>
  <si>
    <t>Rørtype 1</t>
  </si>
  <si>
    <t>Rørtype 2</t>
  </si>
  <si>
    <t>Rørtype 3</t>
  </si>
  <si>
    <t>Rørtype 4</t>
  </si>
  <si>
    <t>Rørtype 5</t>
  </si>
  <si>
    <t>Rørtype 6</t>
  </si>
  <si>
    <t>Rørtype 7</t>
  </si>
  <si>
    <t>Utslippsfaktor grus og pukk</t>
  </si>
  <si>
    <t>kg CO2e/kg</t>
  </si>
  <si>
    <t>Mengde tilførte masser</t>
  </si>
  <si>
    <t>kg CO₂e/kg</t>
  </si>
  <si>
    <t>Tilførte masser som grus og pukk til veibygging og omfylling for rør</t>
  </si>
  <si>
    <t>MATERIALTRANSPORT RØR (A4)</t>
  </si>
  <si>
    <t>Utslippsfaktor materialtransport</t>
  </si>
  <si>
    <t>Egenvekt rør</t>
  </si>
  <si>
    <t>Utslippsfaktor transport</t>
  </si>
  <si>
    <t>Utslipp transport</t>
  </si>
  <si>
    <t>kg/m</t>
  </si>
  <si>
    <t>MASSETRANSPORT (A4)</t>
  </si>
  <si>
    <t>Utslippsfaktor massetransport (diesel for vegtransport)</t>
  </si>
  <si>
    <t>Volum tilførte masser (m3)</t>
  </si>
  <si>
    <t>Antar at 1/2 tilføres ved grøft i vei og 1/3 ved grøft i terreng.</t>
  </si>
  <si>
    <t>Antar at grus og pukk tilføres og at jordmasser kjøres ut.</t>
  </si>
  <si>
    <t>Utslippsfaktor massetransport</t>
  </si>
  <si>
    <t>Tettheter/egenvekter</t>
  </si>
  <si>
    <t>tonn/lm3</t>
  </si>
  <si>
    <t>Grus/pukk</t>
  </si>
  <si>
    <t>Transport tilførte masser (grus og pukk)</t>
  </si>
  <si>
    <t>Jord og leire</t>
  </si>
  <si>
    <t>Transport utkjørte masser som ikke skal gjenbrukes (jordmasser)</t>
  </si>
  <si>
    <t>KUMMER (A1-A5)</t>
  </si>
  <si>
    <t>Utslipp per stk</t>
  </si>
  <si>
    <t>Utslipp</t>
  </si>
  <si>
    <t>kg CO₂e/stk</t>
  </si>
  <si>
    <t>Sandfangskummer</t>
  </si>
  <si>
    <t>MASKINER</t>
  </si>
  <si>
    <t>Dieselforbruk</t>
  </si>
  <si>
    <t>Utslipp maskiner</t>
  </si>
  <si>
    <t>40,6 liter diesel/m: etablering av grøft</t>
  </si>
  <si>
    <t>l diesel/m</t>
  </si>
  <si>
    <t>Inkluderer grave grøfteprofil, nedsetting kummer, planering for rør i grøft og stikkrenner, omfylling og gjenfylling.</t>
  </si>
  <si>
    <t>Etablering av grøft inkl. Omfylling og gjenfylling</t>
  </si>
  <si>
    <t>Liter diesel i bruk</t>
  </si>
  <si>
    <t>Anleggsdiesel: Innblanding biodiesel basert på omsetningskrav, B10</t>
  </si>
  <si>
    <t>kg CO2e/l</t>
  </si>
  <si>
    <t>Tradisjonell grøft utført med elektrifisert graveutstyr</t>
  </si>
  <si>
    <t>0,0238 kg CO2e/kWh</t>
  </si>
  <si>
    <t>Elektrisitet - Anlegg</t>
  </si>
  <si>
    <t>Lagt til grunn en effektivitet på 34% for dieselmaskiner og 85% for el-maskiner. El-forbruk på 4,29 kWh for å utføre samme jobb som en dieselmaskin forbruker 1 liter diesel på.</t>
  </si>
  <si>
    <t>Utslipp per kWh</t>
  </si>
  <si>
    <t>El-forbruk</t>
  </si>
  <si>
    <t xml:space="preserve">Utslipp </t>
  </si>
  <si>
    <t>kg CO2e/kWh</t>
  </si>
  <si>
    <t>kWh el/l diesel</t>
  </si>
  <si>
    <t>Etablering av grøft</t>
  </si>
  <si>
    <t>NO-dig grøft utført med blokking, inkl. punktgraving for stikk og kummer</t>
  </si>
  <si>
    <t>KONVENSJONELT UTSTYR (DIESEL)</t>
  </si>
  <si>
    <t>Dieselforbruk kg CO2 per time</t>
  </si>
  <si>
    <t>Energibruk anleggsmaskiner</t>
  </si>
  <si>
    <t>Erfaring: 16 t graving per stikk, 40 t per blokkegrop, 16 t per nedtrekksgrop</t>
  </si>
  <si>
    <r>
      <t>Liten gravemaskin (</t>
    </r>
    <r>
      <rPr>
        <sz val="12"/>
        <color theme="1"/>
        <rFont val="Verdana"/>
        <family val="2"/>
      </rPr>
      <t>≤</t>
    </r>
    <r>
      <rPr>
        <sz val="12"/>
        <color theme="1"/>
        <rFont val="Calibri"/>
        <family val="2"/>
      </rPr>
      <t xml:space="preserve"> </t>
    </r>
    <r>
      <rPr>
        <sz val="12"/>
        <color theme="1"/>
        <rFont val="Aptos Narrow"/>
        <family val="2"/>
        <scheme val="minor"/>
      </rPr>
      <t>15 tonn)</t>
    </r>
  </si>
  <si>
    <t>liter/t</t>
  </si>
  <si>
    <t>Medium gravemaskin (16-23 tonn)</t>
  </si>
  <si>
    <t>Utslipp per time</t>
  </si>
  <si>
    <t>Utslipp graving med fossilt drivstoff</t>
  </si>
  <si>
    <r>
      <t>Stor gravemaskin (</t>
    </r>
    <r>
      <rPr>
        <sz val="12"/>
        <color theme="1"/>
        <rFont val="Verdana"/>
        <family val="2"/>
      </rPr>
      <t>≥</t>
    </r>
    <r>
      <rPr>
        <sz val="12"/>
        <color theme="1"/>
        <rFont val="Calibri"/>
        <family val="2"/>
      </rPr>
      <t xml:space="preserve"> 24 tonn)</t>
    </r>
  </si>
  <si>
    <t>kg CO2e/t</t>
  </si>
  <si>
    <t>Punktgraving for stikk</t>
  </si>
  <si>
    <t>Gjennomsnitt</t>
  </si>
  <si>
    <t>Grop blokkemaskin</t>
  </si>
  <si>
    <t>Grop nedtrekk</t>
  </si>
  <si>
    <t>kg CO2/t</t>
  </si>
  <si>
    <t>ELEKTRIFISERT UTSTYR</t>
  </si>
  <si>
    <t xml:space="preserve">Utslippsfaktor elektrisitet - anlegg </t>
  </si>
  <si>
    <t>El-forbruk for samme jobb som 1 l diesel</t>
  </si>
  <si>
    <t>kWh/l diesel</t>
  </si>
  <si>
    <t>Gravetimer</t>
  </si>
  <si>
    <t>timer</t>
  </si>
  <si>
    <t>liter</t>
  </si>
  <si>
    <t>kWh</t>
  </si>
  <si>
    <t>NO-dig med strømpe</t>
  </si>
  <si>
    <t>UTSLIPP MATERIALER OG PRODUKSJON (A1-A3)</t>
  </si>
  <si>
    <t>Egenvekt</t>
  </si>
  <si>
    <t>Diameter</t>
  </si>
  <si>
    <t>Liner tykkelse</t>
  </si>
  <si>
    <t>Volum</t>
  </si>
  <si>
    <t>kg CO₂e/m3</t>
  </si>
  <si>
    <t>UTSLIPP MATERIALTRANSPORT (A4)</t>
  </si>
  <si>
    <t>Vekt</t>
  </si>
  <si>
    <t>kg</t>
  </si>
  <si>
    <t>Rørspesifikasjoner</t>
  </si>
  <si>
    <t>Norsk Vann Rapport 251/2019</t>
  </si>
  <si>
    <t>kg CO2e / kg rør</t>
  </si>
  <si>
    <t>Dimensjon, mm</t>
  </si>
  <si>
    <t>Utslipp per m</t>
  </si>
  <si>
    <t xml:space="preserve">NO dig   </t>
  </si>
  <si>
    <t>kg CO₂e./m</t>
  </si>
  <si>
    <t>SDR11</t>
  </si>
  <si>
    <t>PP</t>
  </si>
  <si>
    <t>Rørhåndbok Pipelife</t>
  </si>
  <si>
    <t>R-PE-tabeller.pdf</t>
  </si>
  <si>
    <t>GRP</t>
  </si>
  <si>
    <t>Støpejern</t>
  </si>
  <si>
    <t>DV, PP</t>
  </si>
  <si>
    <t>Hallingplast</t>
  </si>
  <si>
    <t>pp-grunnavloep-og-overvannsroer_hallingplast_produktdatablad.pdf</t>
  </si>
  <si>
    <t>Utslippsfaktor  PE 110</t>
  </si>
  <si>
    <t>Utslippsfaktor  PE 150</t>
  </si>
  <si>
    <t>Utslippsfaktor PE 315</t>
  </si>
  <si>
    <t>Utslippsfaktor  PE 630</t>
  </si>
  <si>
    <t>Rør PN10</t>
  </si>
  <si>
    <t>400 mm 6 m PVC-U SDR 21 gråblå trykkrør – Pipelife</t>
  </si>
  <si>
    <t>Basal falsrør - Betongrør - NOBI Norsk Betongindustri</t>
  </si>
  <si>
    <t>PN10</t>
  </si>
  <si>
    <t>https://www.amiblu.com/wp-content/uploads/Flowtite-Technical-Data-Pressure-Pipes.pdf</t>
  </si>
  <si>
    <t>Dn150 duktiltrør 1-kamret c64 znal 400 g/m² + 100 µm epox...</t>
  </si>
  <si>
    <t>219.1x2.0 sveiset rør en1.4307 en10217-7 tc1 kg/m 10.8...</t>
  </si>
  <si>
    <t>DV</t>
  </si>
  <si>
    <t>IQ BLUE RØR 300MM 3M SN8 PP DV M/MUFFE | Uponor</t>
  </si>
  <si>
    <t>Kum</t>
  </si>
  <si>
    <t>kg CO2e/stk</t>
  </si>
  <si>
    <t>VegLCA v5.14B</t>
  </si>
  <si>
    <t>Sandfangkum</t>
  </si>
  <si>
    <t>Inspeksjonskum</t>
  </si>
  <si>
    <t>Spillvannskum</t>
  </si>
  <si>
    <t>Vannkum</t>
  </si>
  <si>
    <t>Strømpe</t>
  </si>
  <si>
    <t>kg CO2e/kg (A1-A3)</t>
  </si>
  <si>
    <t>kg CO2e/m3 (A1-A3)</t>
  </si>
  <si>
    <t>Inpipe freeliner (Ø150 mm – Ø1800 mm)</t>
  </si>
  <si>
    <t>https://api.environdec.com/api/v1/EPDLibrary/Files/c499f697-124b-4cb0-e00a-08dbf085b35e/Data</t>
  </si>
  <si>
    <t>PAA-SF-Liner™ (Ø 150 mm – Ø 500 mm)</t>
  </si>
  <si>
    <t>https://www.epddanmark.dk/media/1vefhpw0/md-23008-en.pdf</t>
  </si>
  <si>
    <t>PAA-SF-Liner™ (Ø 400 mm – Ø 1000 mm)</t>
  </si>
  <si>
    <t>PAA-SF-Liner™ (Ø 800 mm – Ø 2200 mm)</t>
  </si>
  <si>
    <t>Egenvekt kg/m</t>
  </si>
  <si>
    <t>kg CO2e/m3</t>
  </si>
  <si>
    <t>Tetthet, kg/m3</t>
  </si>
  <si>
    <t>Liner tykkelse, mm</t>
  </si>
  <si>
    <t>RØR</t>
  </si>
  <si>
    <t>Velg materiale</t>
  </si>
  <si>
    <t>KUMMER</t>
  </si>
  <si>
    <t>STRØMPE</t>
  </si>
  <si>
    <t>Velg dimensjon</t>
  </si>
  <si>
    <t>Relevante diametere ved gitt materiale</t>
  </si>
  <si>
    <t>Rørmateriale</t>
  </si>
  <si>
    <t>Dimensjoner, mm</t>
  </si>
  <si>
    <t xml:space="preserve">Velg rørdimensjon </t>
  </si>
  <si>
    <t xml:space="preserve">Ved bruk av flere gjennomføringsmetoder i samme prosjekt/område, bør det brukes flere regneark/dokumenter da regnearket beregner klimagassutslipp for et helt område for å sammenligne gjennomføringsmetoder. For eksempel hvis det er et prosjekt med en andel NO-dig og en andel åpen grøft, må andelen åpen grøft regnes ut i eget regneark og andel NO-dig regnes ut i  et annet regneark. 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</si>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</sst>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0.0"/>
    <numFmt numFmtId="165" formatCode="#,##0.0"/>
    <numFmt numFmtId="166" formatCode="0.000"/>
    <numFmt numFmtId="167" formatCode="#,##0.000_ ;[Red]\-#,##0.000\ "/>
    <numFmt numFmtId="168" formatCode="#,##0.0000_ ;[Red]\-#,##0.0000\ "/>
    <numFmt numFmtId="169" formatCode="#,##0.0_ ;[Red]\-#,##0.0\ "/>
    <numFmt numFmtId="170" formatCode="0.0000"/>
  </numFmts>
  <fonts count="37" x14ac:knownFonts="1">
    <font>
      <sz val="11"/>
      <color theme="1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1"/>
      <name val="Aptos Narrow"/>
      <family val="2"/>
      <scheme val="minor"/>
    </font>
    <font>
      <sz val="11"/>
      <name val="Calibri"/>
      <family val="2"/>
    </font>
    <font>
      <sz val="11"/>
      <color theme="1"/>
      <name val="Calibri"/>
      <family val="2"/>
    </font>
    <font>
      <b/>
      <sz val="11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9"/>
      <color theme="1"/>
      <name val="Verdana"/>
      <family val="2"/>
    </font>
    <font>
      <sz val="9"/>
      <color rgb="FF3F3F76"/>
      <name val="Verdana"/>
      <family val="2"/>
    </font>
    <font>
      <sz val="12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sz val="8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2"/>
      <name val="Aptos Narrow"/>
      <family val="2"/>
      <scheme val="minor"/>
    </font>
    <font>
      <u/>
      <sz val="12"/>
      <color theme="10"/>
      <name val="Aptos Narrow"/>
      <family val="2"/>
      <scheme val="minor"/>
    </font>
    <font>
      <b/>
      <sz val="12"/>
      <color rgb="FFFF0000"/>
      <name val="Aptos Narrow"/>
      <family val="2"/>
      <scheme val="minor"/>
    </font>
    <font>
      <sz val="12"/>
      <color rgb="FF3F3F76"/>
      <name val="Aptos Narrow"/>
      <family val="2"/>
      <scheme val="minor"/>
    </font>
    <font>
      <u/>
      <sz val="12"/>
      <color theme="1"/>
      <name val="Aptos Narrow"/>
      <family val="2"/>
      <scheme val="minor"/>
    </font>
    <font>
      <i/>
      <sz val="12"/>
      <color theme="1"/>
      <name val="Aptos Narrow"/>
      <family val="2"/>
      <scheme val="minor"/>
    </font>
    <font>
      <sz val="16"/>
      <color theme="1"/>
      <name val="Aptos Narrow"/>
      <family val="2"/>
      <scheme val="minor"/>
    </font>
    <font>
      <sz val="12"/>
      <color theme="1"/>
      <name val="Verdana"/>
      <family val="2"/>
    </font>
    <font>
      <sz val="12"/>
      <color theme="1"/>
      <name val="Calibri"/>
      <family val="2"/>
    </font>
    <font>
      <sz val="11"/>
      <color rgb="FF000000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12"/>
      <color theme="9"/>
      <name val="Aptos Narrow"/>
      <family val="2"/>
      <scheme val="minor"/>
    </font>
    <font>
      <sz val="11"/>
      <color theme="9"/>
      <name val="Aptos Narrow"/>
      <family val="2"/>
      <scheme val="minor"/>
    </font>
    <font>
      <sz val="12"/>
      <color rgb="FF388600"/>
      <name val="Aptos Narrow"/>
      <family val="2"/>
      <scheme val="minor"/>
    </font>
    <font>
      <sz val="12"/>
      <color rgb="FFC00000"/>
      <name val="Aptos Narrow"/>
      <family val="2"/>
      <scheme val="minor"/>
    </font>
    <font>
      <sz val="12"/>
      <color rgb="FF0070C0"/>
      <name val="Aptos Narrow"/>
      <family val="2"/>
      <scheme val="minor"/>
    </font>
    <font>
      <sz val="12"/>
      <color rgb="FFFF0000"/>
      <name val="Aptos Narrow"/>
      <family val="2"/>
      <scheme val="minor"/>
    </font>
    <font>
      <sz val="11"/>
      <color rgb="FF92D050"/>
      <name val="Aptos Narrow"/>
      <family val="2"/>
      <scheme val="minor"/>
    </font>
    <font>
      <sz val="12"/>
      <color rgb="FF92D050"/>
      <name val="Aptos Narrow"/>
      <family val="2"/>
      <scheme val="minor"/>
    </font>
    <font>
      <sz val="11"/>
      <color rgb="FF242424"/>
      <name val="Aptos Narrow"/>
      <charset val="1"/>
    </font>
  </fonts>
  <fills count="10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69696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39997558519241921"/>
        <bgColor indexed="65"/>
      </patternFill>
    </fill>
  </fills>
  <borders count="17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7">
    <xf numFmtId="0" fontId="0" fillId="0" borderId="0"/>
    <xf numFmtId="0" fontId="1" fillId="2" borderId="1" applyNumberFormat="0" applyAlignment="0" applyProtection="0"/>
    <xf numFmtId="0" fontId="3" fillId="0" borderId="0" applyNumberFormat="0" applyFill="0" applyBorder="0" applyAlignment="0" applyProtection="0"/>
    <xf numFmtId="0" fontId="10" fillId="0" borderId="0"/>
    <xf numFmtId="0" fontId="12" fillId="2" borderId="1" applyNumberFormat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</cellStyleXfs>
  <cellXfs count="340">
    <xf numFmtId="0" fontId="0" fillId="0" borderId="0" xfId="0"/>
    <xf numFmtId="0" fontId="0" fillId="3" borderId="0" xfId="0" applyFill="1"/>
    <xf numFmtId="0" fontId="2" fillId="3" borderId="0" xfId="0" applyFont="1" applyFill="1"/>
    <xf numFmtId="0" fontId="8" fillId="3" borderId="0" xfId="0" applyFont="1" applyFill="1"/>
    <xf numFmtId="0" fontId="0" fillId="3" borderId="0" xfId="0" applyFill="1" applyAlignment="1">
      <alignment vertical="center"/>
    </xf>
    <xf numFmtId="0" fontId="3" fillId="0" borderId="0" xfId="2"/>
    <xf numFmtId="164" fontId="0" fillId="3" borderId="0" xfId="0" applyNumberFormat="1" applyFill="1" applyAlignment="1">
      <alignment horizontal="center"/>
    </xf>
    <xf numFmtId="0" fontId="0" fillId="3" borderId="2" xfId="0" applyFill="1" applyBorder="1"/>
    <xf numFmtId="0" fontId="0" fillId="3" borderId="7" xfId="0" applyFill="1" applyBorder="1"/>
    <xf numFmtId="0" fontId="0" fillId="3" borderId="6" xfId="0" applyFill="1" applyBorder="1"/>
    <xf numFmtId="0" fontId="0" fillId="3" borderId="12" xfId="0" applyFill="1" applyBorder="1"/>
    <xf numFmtId="0" fontId="0" fillId="3" borderId="13" xfId="0" applyFill="1" applyBorder="1"/>
    <xf numFmtId="164" fontId="0" fillId="3" borderId="0" xfId="0" applyNumberFormat="1" applyFill="1" applyAlignment="1">
      <alignment vertical="center"/>
    </xf>
    <xf numFmtId="0" fontId="4" fillId="3" borderId="0" xfId="2" applyFont="1" applyFill="1" applyBorder="1"/>
    <xf numFmtId="1" fontId="0" fillId="3" borderId="0" xfId="0" applyNumberFormat="1" applyFill="1" applyAlignment="1">
      <alignment vertical="center"/>
    </xf>
    <xf numFmtId="0" fontId="13" fillId="3" borderId="0" xfId="0" applyFont="1" applyFill="1" applyAlignment="1">
      <alignment horizontal="left"/>
    </xf>
    <xf numFmtId="49" fontId="0" fillId="3" borderId="0" xfId="0" applyNumberFormat="1" applyFill="1"/>
    <xf numFmtId="0" fontId="16" fillId="3" borderId="0" xfId="0" applyFont="1" applyFill="1"/>
    <xf numFmtId="0" fontId="9" fillId="3" borderId="0" xfId="0" applyFont="1" applyFill="1"/>
    <xf numFmtId="0" fontId="13" fillId="3" borderId="8" xfId="0" applyFont="1" applyFill="1" applyBorder="1" applyAlignment="1">
      <alignment horizontal="left"/>
    </xf>
    <xf numFmtId="0" fontId="17" fillId="3" borderId="4" xfId="0" applyFont="1" applyFill="1" applyBorder="1" applyAlignment="1">
      <alignment horizontal="left"/>
    </xf>
    <xf numFmtId="0" fontId="9" fillId="3" borderId="12" xfId="0" applyFont="1" applyFill="1" applyBorder="1"/>
    <xf numFmtId="0" fontId="16" fillId="6" borderId="9" xfId="0" applyFont="1" applyFill="1" applyBorder="1"/>
    <xf numFmtId="0" fontId="16" fillId="6" borderId="10" xfId="0" applyFont="1" applyFill="1" applyBorder="1" applyAlignment="1">
      <alignment vertical="center"/>
    </xf>
    <xf numFmtId="0" fontId="16" fillId="6" borderId="10" xfId="0" applyFont="1" applyFill="1" applyBorder="1" applyAlignment="1">
      <alignment horizontal="center"/>
    </xf>
    <xf numFmtId="0" fontId="16" fillId="6" borderId="11" xfId="0" applyFont="1" applyFill="1" applyBorder="1" applyAlignment="1">
      <alignment horizontal="center"/>
    </xf>
    <xf numFmtId="166" fontId="13" fillId="4" borderId="8" xfId="0" applyNumberFormat="1" applyFont="1" applyFill="1" applyBorder="1"/>
    <xf numFmtId="166" fontId="13" fillId="4" borderId="0" xfId="0" applyNumberFormat="1" applyFont="1" applyFill="1" applyAlignment="1">
      <alignment horizontal="right"/>
    </xf>
    <xf numFmtId="0" fontId="16" fillId="3" borderId="2" xfId="0" applyFont="1" applyFill="1" applyBorder="1"/>
    <xf numFmtId="0" fontId="9" fillId="3" borderId="0" xfId="0" applyFont="1" applyFill="1" applyAlignment="1">
      <alignment vertical="center"/>
    </xf>
    <xf numFmtId="167" fontId="13" fillId="7" borderId="3" xfId="0" applyNumberFormat="1" applyFont="1" applyFill="1" applyBorder="1"/>
    <xf numFmtId="164" fontId="9" fillId="3" borderId="0" xfId="0" applyNumberFormat="1" applyFont="1" applyFill="1"/>
    <xf numFmtId="0" fontId="9" fillId="3" borderId="7" xfId="0" applyFont="1" applyFill="1" applyBorder="1"/>
    <xf numFmtId="0" fontId="9" fillId="3" borderId="8" xfId="0" applyFont="1" applyFill="1" applyBorder="1"/>
    <xf numFmtId="0" fontId="16" fillId="3" borderId="4" xfId="0" applyFont="1" applyFill="1" applyBorder="1"/>
    <xf numFmtId="0" fontId="9" fillId="4" borderId="0" xfId="0" applyFont="1" applyFill="1"/>
    <xf numFmtId="0" fontId="9" fillId="4" borderId="8" xfId="0" applyFont="1" applyFill="1" applyBorder="1"/>
    <xf numFmtId="166" fontId="13" fillId="3" borderId="0" xfId="0" applyNumberFormat="1" applyFont="1" applyFill="1"/>
    <xf numFmtId="1" fontId="13" fillId="3" borderId="0" xfId="0" applyNumberFormat="1" applyFont="1" applyFill="1" applyAlignment="1">
      <alignment horizontal="right"/>
    </xf>
    <xf numFmtId="1" fontId="13" fillId="4" borderId="2" xfId="0" applyNumberFormat="1" applyFont="1" applyFill="1" applyBorder="1" applyAlignment="1">
      <alignment horizontal="right"/>
    </xf>
    <xf numFmtId="164" fontId="13" fillId="4" borderId="0" xfId="0" applyNumberFormat="1" applyFont="1" applyFill="1" applyAlignment="1">
      <alignment horizontal="right"/>
    </xf>
    <xf numFmtId="0" fontId="17" fillId="3" borderId="8" xfId="0" applyFont="1" applyFill="1" applyBorder="1" applyAlignment="1">
      <alignment horizontal="left"/>
    </xf>
    <xf numFmtId="1" fontId="17" fillId="4" borderId="8" xfId="0" applyNumberFormat="1" applyFont="1" applyFill="1" applyBorder="1"/>
    <xf numFmtId="164" fontId="17" fillId="4" borderId="8" xfId="0" applyNumberFormat="1" applyFont="1" applyFill="1" applyBorder="1" applyAlignment="1">
      <alignment horizontal="right"/>
    </xf>
    <xf numFmtId="0" fontId="18" fillId="0" borderId="0" xfId="2" applyFont="1" applyBorder="1" applyAlignment="1">
      <alignment horizontal="right"/>
    </xf>
    <xf numFmtId="166" fontId="17" fillId="3" borderId="8" xfId="0" applyNumberFormat="1" applyFont="1" applyFill="1" applyBorder="1"/>
    <xf numFmtId="1" fontId="9" fillId="4" borderId="13" xfId="0" applyNumberFormat="1" applyFont="1" applyFill="1" applyBorder="1"/>
    <xf numFmtId="0" fontId="17" fillId="3" borderId="0" xfId="0" applyFont="1" applyFill="1" applyAlignment="1">
      <alignment horizontal="left"/>
    </xf>
    <xf numFmtId="166" fontId="17" fillId="3" borderId="0" xfId="0" applyNumberFormat="1" applyFont="1" applyFill="1"/>
    <xf numFmtId="1" fontId="17" fillId="3" borderId="0" xfId="0" applyNumberFormat="1" applyFont="1" applyFill="1" applyAlignment="1">
      <alignment horizontal="right"/>
    </xf>
    <xf numFmtId="1" fontId="16" fillId="3" borderId="0" xfId="0" applyNumberFormat="1" applyFont="1" applyFill="1"/>
    <xf numFmtId="167" fontId="13" fillId="3" borderId="0" xfId="0" applyNumberFormat="1" applyFont="1" applyFill="1"/>
    <xf numFmtId="0" fontId="18" fillId="3" borderId="0" xfId="2" applyFont="1" applyFill="1" applyBorder="1" applyAlignment="1">
      <alignment horizontal="right"/>
    </xf>
    <xf numFmtId="0" fontId="13" fillId="0" borderId="0" xfId="2" applyFont="1" applyBorder="1" applyAlignment="1">
      <alignment horizontal="right"/>
    </xf>
    <xf numFmtId="0" fontId="13" fillId="3" borderId="7" xfId="0" applyFont="1" applyFill="1" applyBorder="1" applyAlignment="1">
      <alignment horizontal="left"/>
    </xf>
    <xf numFmtId="166" fontId="19" fillId="3" borderId="0" xfId="0" applyNumberFormat="1" applyFont="1" applyFill="1" applyAlignment="1">
      <alignment horizontal="right"/>
    </xf>
    <xf numFmtId="0" fontId="16" fillId="3" borderId="0" xfId="0" applyFont="1" applyFill="1" applyAlignment="1">
      <alignment horizontal="center"/>
    </xf>
    <xf numFmtId="0" fontId="2" fillId="3" borderId="4" xfId="0" applyFont="1" applyFill="1" applyBorder="1"/>
    <xf numFmtId="0" fontId="2" fillId="3" borderId="8" xfId="0" applyFont="1" applyFill="1" applyBorder="1"/>
    <xf numFmtId="164" fontId="13" fillId="4" borderId="0" xfId="0" applyNumberFormat="1" applyFont="1" applyFill="1"/>
    <xf numFmtId="0" fontId="9" fillId="3" borderId="2" xfId="0" applyFont="1" applyFill="1" applyBorder="1"/>
    <xf numFmtId="164" fontId="13" fillId="4" borderId="6" xfId="0" applyNumberFormat="1" applyFont="1" applyFill="1" applyBorder="1" applyAlignment="1">
      <alignment horizontal="right"/>
    </xf>
    <xf numFmtId="164" fontId="9" fillId="4" borderId="6" xfId="0" applyNumberFormat="1" applyFont="1" applyFill="1" applyBorder="1"/>
    <xf numFmtId="164" fontId="13" fillId="4" borderId="2" xfId="0" applyNumberFormat="1" applyFont="1" applyFill="1" applyBorder="1"/>
    <xf numFmtId="164" fontId="13" fillId="4" borderId="8" xfId="0" applyNumberFormat="1" applyFont="1" applyFill="1" applyBorder="1"/>
    <xf numFmtId="0" fontId="16" fillId="3" borderId="8" xfId="0" applyFont="1" applyFill="1" applyBorder="1"/>
    <xf numFmtId="0" fontId="16" fillId="4" borderId="8" xfId="0" applyFont="1" applyFill="1" applyBorder="1"/>
    <xf numFmtId="166" fontId="17" fillId="3" borderId="0" xfId="0" applyNumberFormat="1" applyFont="1" applyFill="1" applyAlignment="1">
      <alignment horizontal="right"/>
    </xf>
    <xf numFmtId="1" fontId="13" fillId="3" borderId="2" xfId="0" applyNumberFormat="1" applyFont="1" applyFill="1" applyBorder="1" applyAlignment="1">
      <alignment horizontal="right"/>
    </xf>
    <xf numFmtId="164" fontId="9" fillId="4" borderId="2" xfId="0" applyNumberFormat="1" applyFont="1" applyFill="1" applyBorder="1"/>
    <xf numFmtId="164" fontId="9" fillId="4" borderId="13" xfId="0" applyNumberFormat="1" applyFont="1" applyFill="1" applyBorder="1"/>
    <xf numFmtId="1" fontId="9" fillId="3" borderId="0" xfId="0" applyNumberFormat="1" applyFont="1" applyFill="1"/>
    <xf numFmtId="4" fontId="16" fillId="4" borderId="5" xfId="0" applyNumberFormat="1" applyFont="1" applyFill="1" applyBorder="1"/>
    <xf numFmtId="4" fontId="17" fillId="4" borderId="5" xfId="0" applyNumberFormat="1" applyFont="1" applyFill="1" applyBorder="1" applyAlignment="1">
      <alignment horizontal="right"/>
    </xf>
    <xf numFmtId="4" fontId="17" fillId="4" borderId="3" xfId="0" applyNumberFormat="1" applyFont="1" applyFill="1" applyBorder="1"/>
    <xf numFmtId="4" fontId="17" fillId="3" borderId="5" xfId="0" applyNumberFormat="1" applyFont="1" applyFill="1" applyBorder="1" applyAlignment="1">
      <alignment horizontal="right"/>
    </xf>
    <xf numFmtId="4" fontId="16" fillId="3" borderId="5" xfId="0" applyNumberFormat="1" applyFont="1" applyFill="1" applyBorder="1"/>
    <xf numFmtId="0" fontId="0" fillId="3" borderId="2" xfId="0" applyFill="1" applyBorder="1" applyAlignment="1">
      <alignment vertical="center"/>
    </xf>
    <xf numFmtId="0" fontId="13" fillId="3" borderId="12" xfId="0" applyFont="1" applyFill="1" applyBorder="1" applyAlignment="1">
      <alignment horizontal="left"/>
    </xf>
    <xf numFmtId="0" fontId="13" fillId="3" borderId="2" xfId="0" applyFont="1" applyFill="1" applyBorder="1" applyAlignment="1">
      <alignment horizontal="left"/>
    </xf>
    <xf numFmtId="0" fontId="0" fillId="3" borderId="7" xfId="0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2" fillId="3" borderId="4" xfId="0" applyFont="1" applyFill="1" applyBorder="1" applyAlignment="1">
      <alignment vertical="center"/>
    </xf>
    <xf numFmtId="164" fontId="0" fillId="3" borderId="2" xfId="0" applyNumberFormat="1" applyFill="1" applyBorder="1" applyAlignment="1">
      <alignment vertical="center"/>
    </xf>
    <xf numFmtId="164" fontId="0" fillId="3" borderId="2" xfId="0" applyNumberFormat="1" applyFill="1" applyBorder="1"/>
    <xf numFmtId="164" fontId="2" fillId="3" borderId="8" xfId="0" applyNumberFormat="1" applyFont="1" applyFill="1" applyBorder="1" applyAlignment="1">
      <alignment horizontal="center" vertical="center"/>
    </xf>
    <xf numFmtId="164" fontId="2" fillId="3" borderId="8" xfId="0" applyNumberFormat="1" applyFont="1" applyFill="1" applyBorder="1" applyAlignment="1">
      <alignment horizontal="center"/>
    </xf>
    <xf numFmtId="0" fontId="0" fillId="3" borderId="2" xfId="0" applyFill="1" applyBorder="1" applyAlignment="1">
      <alignment horizontal="right" vertical="center"/>
    </xf>
    <xf numFmtId="0" fontId="0" fillId="3" borderId="6" xfId="0" applyFill="1" applyBorder="1" applyAlignment="1">
      <alignment horizontal="right"/>
    </xf>
    <xf numFmtId="0" fontId="0" fillId="3" borderId="13" xfId="0" applyFill="1" applyBorder="1" applyAlignment="1">
      <alignment horizontal="right"/>
    </xf>
    <xf numFmtId="0" fontId="9" fillId="3" borderId="10" xfId="0" applyFont="1" applyFill="1" applyBorder="1"/>
    <xf numFmtId="168" fontId="9" fillId="4" borderId="0" xfId="0" applyNumberFormat="1" applyFont="1" applyFill="1"/>
    <xf numFmtId="0" fontId="9" fillId="6" borderId="9" xfId="0" applyFont="1" applyFill="1" applyBorder="1"/>
    <xf numFmtId="0" fontId="0" fillId="3" borderId="0" xfId="0" applyFill="1" applyAlignment="1">
      <alignment horizontal="center"/>
    </xf>
    <xf numFmtId="170" fontId="13" fillId="4" borderId="0" xfId="0" applyNumberFormat="1" applyFont="1" applyFill="1"/>
    <xf numFmtId="0" fontId="13" fillId="0" borderId="0" xfId="2" applyFont="1" applyBorder="1" applyAlignment="1">
      <alignment horizontal="left"/>
    </xf>
    <xf numFmtId="0" fontId="13" fillId="0" borderId="9" xfId="2" applyFont="1" applyBorder="1" applyAlignment="1">
      <alignment horizontal="left"/>
    </xf>
    <xf numFmtId="0" fontId="3" fillId="3" borderId="0" xfId="2" applyFill="1"/>
    <xf numFmtId="164" fontId="13" fillId="3" borderId="0" xfId="0" applyNumberFormat="1" applyFont="1" applyFill="1"/>
    <xf numFmtId="0" fontId="13" fillId="3" borderId="0" xfId="2" applyFont="1" applyFill="1" applyBorder="1" applyAlignment="1">
      <alignment horizontal="right"/>
    </xf>
    <xf numFmtId="0" fontId="7" fillId="3" borderId="8" xfId="0" applyFont="1" applyFill="1" applyBorder="1" applyAlignment="1">
      <alignment horizontal="center" vertical="center"/>
    </xf>
    <xf numFmtId="164" fontId="2" fillId="3" borderId="8" xfId="0" applyNumberFormat="1" applyFont="1" applyFill="1" applyBorder="1"/>
    <xf numFmtId="164" fontId="2" fillId="3" borderId="5" xfId="0" applyNumberFormat="1" applyFont="1" applyFill="1" applyBorder="1"/>
    <xf numFmtId="166" fontId="13" fillId="4" borderId="0" xfId="0" applyNumberFormat="1" applyFont="1" applyFill="1"/>
    <xf numFmtId="0" fontId="0" fillId="3" borderId="0" xfId="0" applyFill="1" applyAlignment="1">
      <alignment horizontal="right"/>
    </xf>
    <xf numFmtId="2" fontId="9" fillId="4" borderId="0" xfId="0" applyNumberFormat="1" applyFont="1" applyFill="1"/>
    <xf numFmtId="4" fontId="17" fillId="3" borderId="0" xfId="0" applyNumberFormat="1" applyFont="1" applyFill="1"/>
    <xf numFmtId="2" fontId="9" fillId="4" borderId="2" xfId="0" applyNumberFormat="1" applyFont="1" applyFill="1" applyBorder="1"/>
    <xf numFmtId="166" fontId="13" fillId="4" borderId="2" xfId="0" applyNumberFormat="1" applyFont="1" applyFill="1" applyBorder="1"/>
    <xf numFmtId="4" fontId="17" fillId="4" borderId="5" xfId="0" applyNumberFormat="1" applyFont="1" applyFill="1" applyBorder="1"/>
    <xf numFmtId="2" fontId="13" fillId="4" borderId="0" xfId="0" applyNumberFormat="1" applyFont="1" applyFill="1"/>
    <xf numFmtId="2" fontId="13" fillId="4" borderId="2" xfId="0" applyNumberFormat="1" applyFont="1" applyFill="1" applyBorder="1"/>
    <xf numFmtId="164" fontId="9" fillId="4" borderId="0" xfId="0" applyNumberFormat="1" applyFont="1" applyFill="1"/>
    <xf numFmtId="167" fontId="9" fillId="4" borderId="0" xfId="0" applyNumberFormat="1" applyFont="1" applyFill="1"/>
    <xf numFmtId="167" fontId="9" fillId="4" borderId="2" xfId="0" applyNumberFormat="1" applyFont="1" applyFill="1" applyBorder="1"/>
    <xf numFmtId="2" fontId="16" fillId="4" borderId="5" xfId="0" applyNumberFormat="1" applyFont="1" applyFill="1" applyBorder="1"/>
    <xf numFmtId="4" fontId="17" fillId="4" borderId="8" xfId="0" applyNumberFormat="1" applyFont="1" applyFill="1" applyBorder="1" applyAlignment="1">
      <alignment horizontal="right"/>
    </xf>
    <xf numFmtId="1" fontId="13" fillId="4" borderId="0" xfId="0" applyNumberFormat="1" applyFont="1" applyFill="1" applyAlignment="1">
      <alignment horizontal="right"/>
    </xf>
    <xf numFmtId="1" fontId="17" fillId="4" borderId="8" xfId="0" applyNumberFormat="1" applyFont="1" applyFill="1" applyBorder="1" applyAlignment="1">
      <alignment horizontal="right"/>
    </xf>
    <xf numFmtId="1" fontId="17" fillId="3" borderId="0" xfId="0" applyNumberFormat="1" applyFont="1" applyFill="1"/>
    <xf numFmtId="4" fontId="17" fillId="3" borderId="0" xfId="0" applyNumberFormat="1" applyFont="1" applyFill="1" applyAlignment="1">
      <alignment horizontal="right"/>
    </xf>
    <xf numFmtId="164" fontId="13" fillId="4" borderId="3" xfId="0" applyNumberFormat="1" applyFont="1" applyFill="1" applyBorder="1"/>
    <xf numFmtId="169" fontId="13" fillId="4" borderId="3" xfId="0" applyNumberFormat="1" applyFont="1" applyFill="1" applyBorder="1"/>
    <xf numFmtId="1" fontId="13" fillId="4" borderId="3" xfId="0" applyNumberFormat="1" applyFont="1" applyFill="1" applyBorder="1"/>
    <xf numFmtId="167" fontId="13" fillId="4" borderId="3" xfId="0" applyNumberFormat="1" applyFont="1" applyFill="1" applyBorder="1"/>
    <xf numFmtId="1" fontId="13" fillId="3" borderId="0" xfId="0" applyNumberFormat="1" applyFont="1" applyFill="1"/>
    <xf numFmtId="4" fontId="13" fillId="4" borderId="3" xfId="0" applyNumberFormat="1" applyFont="1" applyFill="1" applyBorder="1"/>
    <xf numFmtId="2" fontId="13" fillId="4" borderId="13" xfId="0" applyNumberFormat="1" applyFont="1" applyFill="1" applyBorder="1" applyAlignment="1">
      <alignment horizontal="right"/>
    </xf>
    <xf numFmtId="168" fontId="13" fillId="4" borderId="3" xfId="0" applyNumberFormat="1" applyFont="1" applyFill="1" applyBorder="1"/>
    <xf numFmtId="164" fontId="13" fillId="4" borderId="7" xfId="0" applyNumberFormat="1" applyFont="1" applyFill="1" applyBorder="1"/>
    <xf numFmtId="2" fontId="13" fillId="4" borderId="12" xfId="0" applyNumberFormat="1" applyFont="1" applyFill="1" applyBorder="1"/>
    <xf numFmtId="0" fontId="9" fillId="3" borderId="7" xfId="0" applyFont="1" applyFill="1" applyBorder="1" applyAlignment="1">
      <alignment vertical="center"/>
    </xf>
    <xf numFmtId="0" fontId="17" fillId="3" borderId="7" xfId="0" applyFont="1" applyFill="1" applyBorder="1" applyAlignment="1">
      <alignment horizontal="left"/>
    </xf>
    <xf numFmtId="164" fontId="13" fillId="3" borderId="2" xfId="0" applyNumberFormat="1" applyFont="1" applyFill="1" applyBorder="1"/>
    <xf numFmtId="0" fontId="4" fillId="3" borderId="0" xfId="0" applyFont="1" applyFill="1" applyAlignment="1">
      <alignment vertical="center"/>
    </xf>
    <xf numFmtId="0" fontId="20" fillId="5" borderId="3" xfId="1" applyFont="1" applyFill="1" applyBorder="1" applyAlignment="1" applyProtection="1">
      <alignment horizontal="center"/>
    </xf>
    <xf numFmtId="0" fontId="16" fillId="3" borderId="9" xfId="0" applyFont="1" applyFill="1" applyBorder="1"/>
    <xf numFmtId="0" fontId="9" fillId="3" borderId="11" xfId="0" applyFont="1" applyFill="1" applyBorder="1"/>
    <xf numFmtId="0" fontId="16" fillId="3" borderId="7" xfId="0" applyFont="1" applyFill="1" applyBorder="1"/>
    <xf numFmtId="0" fontId="9" fillId="3" borderId="6" xfId="0" applyFont="1" applyFill="1" applyBorder="1"/>
    <xf numFmtId="0" fontId="9" fillId="3" borderId="13" xfId="0" applyFont="1" applyFill="1" applyBorder="1"/>
    <xf numFmtId="0" fontId="9" fillId="3" borderId="7" xfId="0" applyFont="1" applyFill="1" applyBorder="1" applyAlignment="1">
      <alignment horizontal="left"/>
    </xf>
    <xf numFmtId="0" fontId="9" fillId="3" borderId="0" xfId="0" applyFont="1" applyFill="1" applyAlignment="1">
      <alignment horizontal="left"/>
    </xf>
    <xf numFmtId="0" fontId="9" fillId="5" borderId="3" xfId="0" applyFont="1" applyFill="1" applyBorder="1" applyAlignment="1" applyProtection="1">
      <alignment horizontal="right" vertical="center"/>
      <protection locked="0"/>
    </xf>
    <xf numFmtId="3" fontId="9" fillId="5" borderId="3" xfId="0" applyNumberFormat="1" applyFont="1" applyFill="1" applyBorder="1" applyAlignment="1" applyProtection="1">
      <alignment horizontal="right"/>
      <protection locked="0"/>
    </xf>
    <xf numFmtId="0" fontId="9" fillId="3" borderId="9" xfId="0" applyFont="1" applyFill="1" applyBorder="1"/>
    <xf numFmtId="3" fontId="16" fillId="4" borderId="3" xfId="0" applyNumberFormat="1" applyFont="1" applyFill="1" applyBorder="1"/>
    <xf numFmtId="3" fontId="9" fillId="3" borderId="0" xfId="0" applyNumberFormat="1" applyFont="1" applyFill="1"/>
    <xf numFmtId="0" fontId="16" fillId="3" borderId="0" xfId="0" applyFont="1" applyFill="1" applyAlignment="1">
      <alignment horizontal="left" vertical="center"/>
    </xf>
    <xf numFmtId="0" fontId="16" fillId="3" borderId="9" xfId="0" applyFont="1" applyFill="1" applyBorder="1" applyAlignment="1">
      <alignment horizontal="left" vertical="center"/>
    </xf>
    <xf numFmtId="0" fontId="16" fillId="3" borderId="10" xfId="0" applyFont="1" applyFill="1" applyBorder="1" applyAlignment="1">
      <alignment horizontal="left" vertical="center"/>
    </xf>
    <xf numFmtId="0" fontId="21" fillId="3" borderId="9" xfId="0" applyFont="1" applyFill="1" applyBorder="1"/>
    <xf numFmtId="0" fontId="19" fillId="3" borderId="0" xfId="0" applyFont="1" applyFill="1" applyAlignment="1">
      <alignment horizontal="right"/>
    </xf>
    <xf numFmtId="0" fontId="22" fillId="3" borderId="10" xfId="0" applyFont="1" applyFill="1" applyBorder="1"/>
    <xf numFmtId="0" fontId="9" fillId="3" borderId="4" xfId="0" applyFont="1" applyFill="1" applyBorder="1"/>
    <xf numFmtId="0" fontId="21" fillId="3" borderId="0" xfId="0" applyFont="1" applyFill="1"/>
    <xf numFmtId="0" fontId="23" fillId="3" borderId="0" xfId="0" applyFont="1" applyFill="1"/>
    <xf numFmtId="0" fontId="16" fillId="3" borderId="2" xfId="0" applyFont="1" applyFill="1" applyBorder="1" applyAlignment="1">
      <alignment vertical="center"/>
    </xf>
    <xf numFmtId="0" fontId="9" fillId="3" borderId="2" xfId="0" applyFont="1" applyFill="1" applyBorder="1" applyAlignment="1">
      <alignment vertical="center"/>
    </xf>
    <xf numFmtId="0" fontId="13" fillId="3" borderId="2" xfId="0" applyFont="1" applyFill="1" applyBorder="1" applyAlignment="1">
      <alignment vertical="center"/>
    </xf>
    <xf numFmtId="0" fontId="16" fillId="3" borderId="0" xfId="0" applyFont="1" applyFill="1" applyAlignment="1">
      <alignment vertical="center"/>
    </xf>
    <xf numFmtId="0" fontId="13" fillId="3" borderId="0" xfId="0" applyFont="1" applyFill="1" applyAlignment="1">
      <alignment vertical="center"/>
    </xf>
    <xf numFmtId="165" fontId="13" fillId="3" borderId="0" xfId="0" applyNumberFormat="1" applyFont="1" applyFill="1" applyAlignment="1">
      <alignment horizontal="right" vertical="center"/>
    </xf>
    <xf numFmtId="165" fontId="9" fillId="3" borderId="0" xfId="0" applyNumberFormat="1" applyFont="1" applyFill="1"/>
    <xf numFmtId="165" fontId="9" fillId="4" borderId="3" xfId="0" applyNumberFormat="1" applyFont="1" applyFill="1" applyBorder="1"/>
    <xf numFmtId="0" fontId="9" fillId="4" borderId="3" xfId="0" applyFont="1" applyFill="1" applyBorder="1"/>
    <xf numFmtId="165" fontId="13" fillId="4" borderId="3" xfId="0" applyNumberFormat="1" applyFont="1" applyFill="1" applyBorder="1" applyAlignment="1">
      <alignment horizontal="right" vertical="center"/>
    </xf>
    <xf numFmtId="0" fontId="0" fillId="3" borderId="0" xfId="0" applyFill="1" applyAlignment="1">
      <alignment horizontal="left" vertical="center"/>
    </xf>
    <xf numFmtId="0" fontId="8" fillId="3" borderId="0" xfId="0" applyFont="1" applyFill="1" applyAlignment="1">
      <alignment vertical="center"/>
    </xf>
    <xf numFmtId="0" fontId="2" fillId="3" borderId="4" xfId="0" applyFont="1" applyFill="1" applyBorder="1" applyAlignment="1">
      <alignment horizontal="left"/>
    </xf>
    <xf numFmtId="0" fontId="7" fillId="3" borderId="8" xfId="0" applyFont="1" applyFill="1" applyBorder="1" applyAlignment="1">
      <alignment horizontal="center"/>
    </xf>
    <xf numFmtId="0" fontId="0" fillId="3" borderId="15" xfId="0" applyFill="1" applyBorder="1"/>
    <xf numFmtId="0" fontId="0" fillId="3" borderId="14" xfId="0" applyFill="1" applyBorder="1"/>
    <xf numFmtId="0" fontId="0" fillId="3" borderId="6" xfId="0" applyFill="1" applyBorder="1" applyAlignment="1">
      <alignment horizontal="center"/>
    </xf>
    <xf numFmtId="0" fontId="0" fillId="3" borderId="13" xfId="0" applyFill="1" applyBorder="1" applyAlignment="1">
      <alignment horizontal="center"/>
    </xf>
    <xf numFmtId="0" fontId="2" fillId="3" borderId="3" xfId="0" applyFont="1" applyFill="1" applyBorder="1"/>
    <xf numFmtId="0" fontId="2" fillId="3" borderId="5" xfId="0" applyFont="1" applyFill="1" applyBorder="1"/>
    <xf numFmtId="0" fontId="0" fillId="0" borderId="7" xfId="0" applyBorder="1"/>
    <xf numFmtId="0" fontId="0" fillId="3" borderId="2" xfId="0" applyFill="1" applyBorder="1" applyAlignment="1">
      <alignment horizontal="center"/>
    </xf>
    <xf numFmtId="0" fontId="2" fillId="3" borderId="0" xfId="0" applyFont="1" applyFill="1" applyAlignment="1">
      <alignment horizontal="left"/>
    </xf>
    <xf numFmtId="164" fontId="0" fillId="3" borderId="0" xfId="0" applyNumberFormat="1" applyFill="1"/>
    <xf numFmtId="0" fontId="0" fillId="3" borderId="0" xfId="0" applyFill="1" applyAlignment="1">
      <alignment horizontal="right" vertical="center"/>
    </xf>
    <xf numFmtId="0" fontId="5" fillId="3" borderId="0" xfId="0" applyFont="1" applyFill="1" applyAlignment="1">
      <alignment vertical="center" wrapText="1"/>
    </xf>
    <xf numFmtId="2" fontId="0" fillId="3" borderId="0" xfId="0" applyNumberFormat="1" applyFill="1" applyAlignment="1">
      <alignment horizontal="right" vertical="center"/>
    </xf>
    <xf numFmtId="0" fontId="0" fillId="3" borderId="9" xfId="0" applyFill="1" applyBorder="1" applyAlignment="1">
      <alignment vertical="center"/>
    </xf>
    <xf numFmtId="0" fontId="4" fillId="3" borderId="10" xfId="2" applyFont="1" applyFill="1" applyBorder="1"/>
    <xf numFmtId="164" fontId="0" fillId="3" borderId="10" xfId="0" applyNumberFormat="1" applyFill="1" applyBorder="1" applyAlignment="1">
      <alignment vertical="center"/>
    </xf>
    <xf numFmtId="0" fontId="0" fillId="3" borderId="10" xfId="0" applyFill="1" applyBorder="1" applyAlignment="1">
      <alignment horizontal="right" vertical="center"/>
    </xf>
    <xf numFmtId="164" fontId="0" fillId="3" borderId="10" xfId="0" applyNumberFormat="1" applyFill="1" applyBorder="1"/>
    <xf numFmtId="0" fontId="0" fillId="3" borderId="11" xfId="0" applyFill="1" applyBorder="1" applyAlignment="1">
      <alignment horizontal="right"/>
    </xf>
    <xf numFmtId="0" fontId="6" fillId="3" borderId="10" xfId="0" applyFont="1" applyFill="1" applyBorder="1" applyAlignment="1">
      <alignment horizontal="right" vertical="center"/>
    </xf>
    <xf numFmtId="0" fontId="2" fillId="3" borderId="5" xfId="0" applyFont="1" applyFill="1" applyBorder="1" applyAlignment="1">
      <alignment horizontal="left"/>
    </xf>
    <xf numFmtId="0" fontId="9" fillId="3" borderId="0" xfId="0" applyFont="1" applyFill="1" applyAlignment="1" applyProtection="1">
      <alignment horizontal="right" vertical="center"/>
      <protection locked="0"/>
    </xf>
    <xf numFmtId="0" fontId="2" fillId="3" borderId="0" xfId="0" applyFont="1" applyFill="1" applyAlignment="1">
      <alignment vertical="center"/>
    </xf>
    <xf numFmtId="49" fontId="0" fillId="3" borderId="15" xfId="0" applyNumberFormat="1" applyFill="1" applyBorder="1"/>
    <xf numFmtId="49" fontId="0" fillId="3" borderId="14" xfId="0" applyNumberFormat="1" applyFill="1" applyBorder="1"/>
    <xf numFmtId="0" fontId="4" fillId="3" borderId="11" xfId="2" applyFont="1" applyFill="1" applyBorder="1"/>
    <xf numFmtId="0" fontId="4" fillId="3" borderId="6" xfId="0" applyFont="1" applyFill="1" applyBorder="1" applyAlignment="1">
      <alignment vertical="center"/>
    </xf>
    <xf numFmtId="0" fontId="4" fillId="3" borderId="6" xfId="2" applyFont="1" applyFill="1" applyBorder="1"/>
    <xf numFmtId="0" fontId="0" fillId="3" borderId="6" xfId="0" applyFill="1" applyBorder="1" applyAlignment="1">
      <alignment vertical="center"/>
    </xf>
    <xf numFmtId="0" fontId="0" fillId="3" borderId="13" xfId="0" applyFill="1" applyBorder="1" applyAlignment="1">
      <alignment vertical="center"/>
    </xf>
    <xf numFmtId="0" fontId="9" fillId="3" borderId="0" xfId="0" applyFont="1" applyFill="1" applyAlignment="1">
      <alignment wrapText="1"/>
    </xf>
    <xf numFmtId="0" fontId="20" fillId="3" borderId="0" xfId="1" applyFont="1" applyFill="1" applyBorder="1" applyAlignment="1">
      <alignment horizontal="center"/>
    </xf>
    <xf numFmtId="0" fontId="9" fillId="7" borderId="16" xfId="0" applyFont="1" applyFill="1" applyBorder="1"/>
    <xf numFmtId="0" fontId="0" fillId="5" borderId="3" xfId="0" applyFill="1" applyBorder="1"/>
    <xf numFmtId="0" fontId="9" fillId="3" borderId="0" xfId="1" applyFont="1" applyFill="1" applyBorder="1" applyAlignment="1">
      <alignment horizontal="left"/>
    </xf>
    <xf numFmtId="0" fontId="0" fillId="3" borderId="6" xfId="0" applyFill="1" applyBorder="1" applyAlignment="1">
      <alignment horizontal="right" vertical="center"/>
    </xf>
    <xf numFmtId="2" fontId="0" fillId="3" borderId="6" xfId="0" applyNumberFormat="1" applyFill="1" applyBorder="1" applyAlignment="1">
      <alignment horizontal="right" vertical="center"/>
    </xf>
    <xf numFmtId="0" fontId="2" fillId="3" borderId="0" xfId="0" applyFont="1" applyFill="1" applyAlignment="1">
      <alignment horizontal="right"/>
    </xf>
    <xf numFmtId="0" fontId="0" fillId="3" borderId="10" xfId="0" applyFill="1" applyBorder="1" applyAlignment="1">
      <alignment vertical="center"/>
    </xf>
    <xf numFmtId="0" fontId="0" fillId="3" borderId="11" xfId="0" applyFill="1" applyBorder="1" applyAlignment="1">
      <alignment vertical="center"/>
    </xf>
    <xf numFmtId="0" fontId="2" fillId="3" borderId="9" xfId="0" applyFont="1" applyFill="1" applyBorder="1"/>
    <xf numFmtId="0" fontId="2" fillId="3" borderId="11" xfId="0" applyFont="1" applyFill="1" applyBorder="1"/>
    <xf numFmtId="2" fontId="0" fillId="3" borderId="0" xfId="0" applyNumberFormat="1" applyFill="1" applyAlignment="1">
      <alignment vertical="center"/>
    </xf>
    <xf numFmtId="0" fontId="2" fillId="3" borderId="7" xfId="0" applyFont="1" applyFill="1" applyBorder="1" applyAlignment="1">
      <alignment vertical="center"/>
    </xf>
    <xf numFmtId="0" fontId="9" fillId="3" borderId="0" xfId="0" applyFont="1" applyFill="1" applyAlignment="1">
      <alignment horizontal="center"/>
    </xf>
    <xf numFmtId="0" fontId="9" fillId="3" borderId="6" xfId="0" applyFont="1" applyFill="1" applyBorder="1" applyAlignment="1">
      <alignment horizontal="left"/>
    </xf>
    <xf numFmtId="0" fontId="13" fillId="3" borderId="7" xfId="0" applyFont="1" applyFill="1" applyBorder="1" applyAlignment="1">
      <alignment horizontal="left" wrapText="1"/>
    </xf>
    <xf numFmtId="4" fontId="13" fillId="4" borderId="3" xfId="0" applyNumberFormat="1" applyFont="1" applyFill="1" applyBorder="1" applyAlignment="1">
      <alignment wrapText="1"/>
    </xf>
    <xf numFmtId="0" fontId="13" fillId="0" borderId="0" xfId="2" applyFont="1" applyBorder="1" applyAlignment="1">
      <alignment horizontal="center"/>
    </xf>
    <xf numFmtId="0" fontId="2" fillId="3" borderId="8" xfId="0" applyFont="1" applyFill="1" applyBorder="1" applyAlignment="1">
      <alignment horizontal="center"/>
    </xf>
    <xf numFmtId="0" fontId="2" fillId="3" borderId="5" xfId="0" applyFont="1" applyFill="1" applyBorder="1" applyAlignment="1">
      <alignment horizontal="center"/>
    </xf>
    <xf numFmtId="2" fontId="0" fillId="3" borderId="0" xfId="0" applyNumberFormat="1" applyFill="1" applyAlignment="1">
      <alignment horizontal="center"/>
    </xf>
    <xf numFmtId="2" fontId="0" fillId="3" borderId="6" xfId="0" applyNumberFormat="1" applyFill="1" applyBorder="1" applyAlignment="1">
      <alignment horizontal="center"/>
    </xf>
    <xf numFmtId="2" fontId="0" fillId="3" borderId="13" xfId="0" applyNumberFormat="1" applyFill="1" applyBorder="1" applyAlignment="1">
      <alignment horizontal="center"/>
    </xf>
    <xf numFmtId="164" fontId="17" fillId="4" borderId="4" xfId="0" applyNumberFormat="1" applyFont="1" applyFill="1" applyBorder="1" applyAlignment="1">
      <alignment horizontal="right"/>
    </xf>
    <xf numFmtId="1" fontId="17" fillId="4" borderId="5" xfId="0" applyNumberFormat="1" applyFont="1" applyFill="1" applyBorder="1" applyAlignment="1">
      <alignment horizontal="right"/>
    </xf>
    <xf numFmtId="0" fontId="16" fillId="6" borderId="12" xfId="0" applyFont="1" applyFill="1" applyBorder="1"/>
    <xf numFmtId="0" fontId="16" fillId="6" borderId="2" xfId="0" applyFont="1" applyFill="1" applyBorder="1" applyAlignment="1">
      <alignment vertical="center"/>
    </xf>
    <xf numFmtId="0" fontId="16" fillId="6" borderId="2" xfId="0" applyFont="1" applyFill="1" applyBorder="1" applyAlignment="1">
      <alignment horizontal="center"/>
    </xf>
    <xf numFmtId="0" fontId="16" fillId="6" borderId="13" xfId="0" applyFont="1" applyFill="1" applyBorder="1" applyAlignment="1">
      <alignment horizontal="center"/>
    </xf>
    <xf numFmtId="0" fontId="16" fillId="6" borderId="4" xfId="0" applyFont="1" applyFill="1" applyBorder="1"/>
    <xf numFmtId="0" fontId="16" fillId="6" borderId="8" xfId="0" applyFont="1" applyFill="1" applyBorder="1"/>
    <xf numFmtId="0" fontId="16" fillId="6" borderId="5" xfId="0" applyFont="1" applyFill="1" applyBorder="1"/>
    <xf numFmtId="0" fontId="9" fillId="6" borderId="12" xfId="0" applyFont="1" applyFill="1" applyBorder="1"/>
    <xf numFmtId="0" fontId="16" fillId="6" borderId="2" xfId="0" applyFont="1" applyFill="1" applyBorder="1" applyAlignment="1">
      <alignment horizontal="center" vertical="center"/>
    </xf>
    <xf numFmtId="0" fontId="28" fillId="3" borderId="0" xfId="0" applyFont="1" applyFill="1"/>
    <xf numFmtId="0" fontId="28" fillId="3" borderId="0" xfId="0" applyFont="1" applyFill="1" applyAlignment="1">
      <alignment horizontal="left"/>
    </xf>
    <xf numFmtId="0" fontId="29" fillId="3" borderId="0" xfId="0" applyFont="1" applyFill="1" applyAlignment="1">
      <alignment vertical="center"/>
    </xf>
    <xf numFmtId="0" fontId="29" fillId="3" borderId="0" xfId="0" applyFont="1" applyFill="1"/>
    <xf numFmtId="0" fontId="30" fillId="3" borderId="0" xfId="0" applyFont="1" applyFill="1"/>
    <xf numFmtId="0" fontId="31" fillId="3" borderId="0" xfId="0" applyFont="1" applyFill="1"/>
    <xf numFmtId="0" fontId="32" fillId="3" borderId="0" xfId="0" applyFont="1" applyFill="1"/>
    <xf numFmtId="2" fontId="9" fillId="3" borderId="0" xfId="0" applyNumberFormat="1" applyFont="1" applyFill="1"/>
    <xf numFmtId="2" fontId="13" fillId="4" borderId="3" xfId="0" applyNumberFormat="1" applyFont="1" applyFill="1" applyBorder="1"/>
    <xf numFmtId="1" fontId="13" fillId="3" borderId="0" xfId="0" applyNumberFormat="1" applyFont="1" applyFill="1" applyAlignment="1">
      <alignment horizontal="center"/>
    </xf>
    <xf numFmtId="170" fontId="13" fillId="3" borderId="0" xfId="0" applyNumberFormat="1" applyFont="1" applyFill="1"/>
    <xf numFmtId="1" fontId="13" fillId="3" borderId="11" xfId="0" applyNumberFormat="1" applyFont="1" applyFill="1" applyBorder="1" applyAlignment="1">
      <alignment horizontal="right"/>
    </xf>
    <xf numFmtId="1" fontId="13" fillId="3" borderId="6" xfId="0" applyNumberFormat="1" applyFont="1" applyFill="1" applyBorder="1" applyAlignment="1">
      <alignment horizontal="right"/>
    </xf>
    <xf numFmtId="0" fontId="13" fillId="3" borderId="6" xfId="2" applyFont="1" applyFill="1" applyBorder="1" applyAlignment="1">
      <alignment horizontal="center"/>
    </xf>
    <xf numFmtId="0" fontId="13" fillId="3" borderId="6" xfId="2" applyFont="1" applyFill="1" applyBorder="1" applyAlignment="1">
      <alignment horizontal="right"/>
    </xf>
    <xf numFmtId="1" fontId="13" fillId="3" borderId="6" xfId="0" applyNumberFormat="1" applyFont="1" applyFill="1" applyBorder="1" applyAlignment="1">
      <alignment horizontal="center"/>
    </xf>
    <xf numFmtId="0" fontId="13" fillId="3" borderId="13" xfId="2" applyFont="1" applyFill="1" applyBorder="1" applyAlignment="1">
      <alignment horizontal="right"/>
    </xf>
    <xf numFmtId="1" fontId="13" fillId="3" borderId="15" xfId="0" applyNumberFormat="1" applyFont="1" applyFill="1" applyBorder="1" applyAlignment="1">
      <alignment horizontal="center"/>
    </xf>
    <xf numFmtId="0" fontId="16" fillId="6" borderId="10" xfId="0" applyFont="1" applyFill="1" applyBorder="1" applyAlignment="1">
      <alignment horizontal="center" vertical="center"/>
    </xf>
    <xf numFmtId="0" fontId="9" fillId="3" borderId="6" xfId="0" applyFont="1" applyFill="1" applyBorder="1" applyAlignment="1">
      <alignment horizontal="right"/>
    </xf>
    <xf numFmtId="0" fontId="9" fillId="3" borderId="13" xfId="0" applyFont="1" applyFill="1" applyBorder="1" applyAlignment="1">
      <alignment horizontal="right"/>
    </xf>
    <xf numFmtId="0" fontId="4" fillId="3" borderId="0" xfId="0" quotePrefix="1" applyFont="1" applyFill="1" applyProtection="1">
      <protection hidden="1"/>
    </xf>
    <xf numFmtId="0" fontId="16" fillId="3" borderId="0" xfId="0" applyFont="1" applyFill="1" applyAlignment="1">
      <alignment horizontal="center" vertical="center"/>
    </xf>
    <xf numFmtId="4" fontId="9" fillId="3" borderId="0" xfId="0" applyNumberFormat="1" applyFont="1" applyFill="1"/>
    <xf numFmtId="4" fontId="16" fillId="3" borderId="0" xfId="0" applyNumberFormat="1" applyFont="1" applyFill="1"/>
    <xf numFmtId="0" fontId="33" fillId="3" borderId="0" xfId="0" applyFont="1" applyFill="1"/>
    <xf numFmtId="0" fontId="34" fillId="3" borderId="0" xfId="0" applyFont="1" applyFill="1"/>
    <xf numFmtId="0" fontId="34" fillId="3" borderId="0" xfId="0" applyFont="1" applyFill="1" applyAlignment="1">
      <alignment vertical="center"/>
    </xf>
    <xf numFmtId="0" fontId="35" fillId="3" borderId="0" xfId="0" applyFont="1" applyFill="1"/>
    <xf numFmtId="164" fontId="35" fillId="3" borderId="0" xfId="0" applyNumberFormat="1" applyFont="1" applyFill="1" applyAlignment="1">
      <alignment horizontal="right"/>
    </xf>
    <xf numFmtId="0" fontId="28" fillId="3" borderId="0" xfId="0" applyFont="1" applyFill="1" applyAlignment="1">
      <alignment wrapText="1"/>
    </xf>
    <xf numFmtId="3" fontId="9" fillId="3" borderId="5" xfId="0" applyNumberFormat="1" applyFont="1" applyFill="1" applyBorder="1"/>
    <xf numFmtId="165" fontId="9" fillId="4" borderId="6" xfId="0" applyNumberFormat="1" applyFont="1" applyFill="1" applyBorder="1"/>
    <xf numFmtId="165" fontId="13" fillId="4" borderId="6" xfId="0" applyNumberFormat="1" applyFont="1" applyFill="1" applyBorder="1"/>
    <xf numFmtId="165" fontId="13" fillId="4" borderId="13" xfId="0" applyNumberFormat="1" applyFont="1" applyFill="1" applyBorder="1"/>
    <xf numFmtId="0" fontId="13" fillId="3" borderId="0" xfId="2" applyFont="1" applyFill="1" applyBorder="1" applyAlignment="1">
      <alignment horizontal="center"/>
    </xf>
    <xf numFmtId="0" fontId="0" fillId="3" borderId="0" xfId="0" applyFill="1" applyAlignment="1">
      <alignment wrapText="1"/>
    </xf>
    <xf numFmtId="0" fontId="0" fillId="3" borderId="0" xfId="0" applyFill="1" applyAlignment="1">
      <alignment vertical="top"/>
    </xf>
    <xf numFmtId="0" fontId="9" fillId="5" borderId="3" xfId="0" applyFont="1" applyFill="1" applyBorder="1" applyAlignment="1" applyProtection="1">
      <alignment horizontal="right"/>
      <protection locked="0"/>
    </xf>
    <xf numFmtId="0" fontId="9" fillId="3" borderId="6" xfId="0" applyFont="1" applyFill="1" applyBorder="1" applyProtection="1">
      <protection locked="0"/>
    </xf>
    <xf numFmtId="0" fontId="9" fillId="3" borderId="0" xfId="0" applyFont="1" applyFill="1" applyProtection="1">
      <protection locked="0"/>
    </xf>
    <xf numFmtId="0" fontId="9" fillId="3" borderId="7" xfId="0" applyFont="1" applyFill="1" applyBorder="1" applyAlignment="1" applyProtection="1">
      <alignment horizontal="left"/>
      <protection locked="0"/>
    </xf>
    <xf numFmtId="0" fontId="9" fillId="3" borderId="0" xfId="0" applyFont="1" applyFill="1" applyAlignment="1" applyProtection="1">
      <alignment horizontal="left"/>
      <protection locked="0"/>
    </xf>
    <xf numFmtId="0" fontId="9" fillId="3" borderId="7" xfId="0" applyFont="1" applyFill="1" applyBorder="1" applyProtection="1">
      <protection locked="0"/>
    </xf>
    <xf numFmtId="1" fontId="9" fillId="5" borderId="3" xfId="0" applyNumberFormat="1" applyFont="1" applyFill="1" applyBorder="1" applyAlignment="1" applyProtection="1">
      <alignment horizontal="right"/>
      <protection locked="0"/>
    </xf>
    <xf numFmtId="0" fontId="9" fillId="3" borderId="2" xfId="0" applyFont="1" applyFill="1" applyBorder="1" applyProtection="1">
      <protection locked="0"/>
    </xf>
    <xf numFmtId="0" fontId="9" fillId="3" borderId="13" xfId="0" applyFont="1" applyFill="1" applyBorder="1" applyProtection="1">
      <protection locked="0"/>
    </xf>
    <xf numFmtId="0" fontId="9" fillId="3" borderId="12" xfId="0" applyFont="1" applyFill="1" applyBorder="1" applyProtection="1">
      <protection locked="0"/>
    </xf>
    <xf numFmtId="0" fontId="9" fillId="3" borderId="10" xfId="0" applyFont="1" applyFill="1" applyBorder="1" applyProtection="1">
      <protection locked="0"/>
    </xf>
    <xf numFmtId="0" fontId="9" fillId="3" borderId="11" xfId="0" applyFont="1" applyFill="1" applyBorder="1" applyProtection="1">
      <protection locked="0"/>
    </xf>
    <xf numFmtId="0" fontId="9" fillId="5" borderId="3" xfId="0" applyFont="1" applyFill="1" applyBorder="1" applyProtection="1">
      <protection locked="0"/>
    </xf>
    <xf numFmtId="0" fontId="27" fillId="3" borderId="0" xfId="0" applyFont="1" applyFill="1" applyProtection="1">
      <protection locked="0"/>
    </xf>
    <xf numFmtId="0" fontId="0" fillId="3" borderId="0" xfId="0" applyFill="1" applyProtection="1">
      <protection locked="0"/>
    </xf>
    <xf numFmtId="0" fontId="6" fillId="3" borderId="0" xfId="0" applyFont="1" applyFill="1" applyAlignment="1">
      <alignment horizontal="right" vertical="center"/>
    </xf>
    <xf numFmtId="0" fontId="0" fillId="3" borderId="11" xfId="0" applyFill="1" applyBorder="1" applyAlignment="1">
      <alignment horizontal="right" vertical="center"/>
    </xf>
    <xf numFmtId="0" fontId="5" fillId="3" borderId="6" xfId="0" applyFont="1" applyFill="1" applyBorder="1" applyAlignment="1">
      <alignment vertical="center" wrapText="1"/>
    </xf>
    <xf numFmtId="0" fontId="5" fillId="3" borderId="13" xfId="0" applyFont="1" applyFill="1" applyBorder="1" applyAlignment="1">
      <alignment vertical="center" wrapText="1"/>
    </xf>
    <xf numFmtId="164" fontId="6" fillId="3" borderId="0" xfId="0" applyNumberFormat="1" applyFont="1" applyFill="1" applyAlignment="1">
      <alignment vertical="center" wrapText="1"/>
    </xf>
    <xf numFmtId="164" fontId="6" fillId="3" borderId="10" xfId="0" applyNumberFormat="1" applyFont="1" applyFill="1" applyBorder="1" applyAlignment="1">
      <alignment vertical="center" wrapText="1"/>
    </xf>
    <xf numFmtId="0" fontId="4" fillId="3" borderId="2" xfId="0" applyFont="1" applyFill="1" applyBorder="1" applyAlignment="1">
      <alignment vertical="center"/>
    </xf>
    <xf numFmtId="0" fontId="4" fillId="3" borderId="13" xfId="0" applyFont="1" applyFill="1" applyBorder="1" applyAlignment="1">
      <alignment vertical="center"/>
    </xf>
    <xf numFmtId="0" fontId="0" fillId="3" borderId="7" xfId="0" applyFill="1" applyBorder="1" applyAlignment="1">
      <alignment horizontal="right"/>
    </xf>
    <xf numFmtId="0" fontId="36" fillId="0" borderId="0" xfId="0" applyFont="1"/>
    <xf numFmtId="164" fontId="0" fillId="0" borderId="2" xfId="0" applyNumberFormat="1" applyBorder="1"/>
    <xf numFmtId="164" fontId="0" fillId="0" borderId="0" xfId="0" applyNumberFormat="1"/>
    <xf numFmtId="0" fontId="0" fillId="3" borderId="10" xfId="0" applyFill="1" applyBorder="1"/>
    <xf numFmtId="0" fontId="0" fillId="0" borderId="2" xfId="0" applyBorder="1"/>
    <xf numFmtId="0" fontId="0" fillId="3" borderId="0" xfId="0" applyFill="1" applyAlignment="1" applyProtection="1">
      <alignment horizontal="left"/>
      <protection locked="0"/>
    </xf>
    <xf numFmtId="0" fontId="4" fillId="3" borderId="0" xfId="2" applyFont="1" applyFill="1" applyProtection="1">
      <protection locked="0"/>
    </xf>
    <xf numFmtId="0" fontId="3" fillId="3" borderId="0" xfId="2" applyFill="1" applyProtection="1">
      <protection locked="0"/>
    </xf>
    <xf numFmtId="0" fontId="4" fillId="3" borderId="0" xfId="2" applyFont="1" applyFill="1" applyBorder="1" applyProtection="1">
      <protection locked="0"/>
    </xf>
    <xf numFmtId="0" fontId="3" fillId="0" borderId="0" xfId="2" applyProtection="1">
      <protection locked="0"/>
    </xf>
    <xf numFmtId="0" fontId="26" fillId="3" borderId="0" xfId="0" applyFont="1" applyFill="1" applyAlignment="1" applyProtection="1">
      <alignment vertical="center" wrapText="1"/>
      <protection locked="0"/>
    </xf>
    <xf numFmtId="0" fontId="0" fillId="3" borderId="0" xfId="0" applyFill="1" applyAlignment="1" applyProtection="1">
      <alignment vertical="center"/>
      <protection locked="0"/>
    </xf>
    <xf numFmtId="0" fontId="0" fillId="3" borderId="0" xfId="0" applyFill="1" applyAlignment="1">
      <alignment horizontal="left" vertical="top" wrapText="1"/>
    </xf>
    <xf numFmtId="0" fontId="16" fillId="3" borderId="0" xfId="0" applyFont="1" applyFill="1" applyAlignment="1">
      <alignment horizontal="left"/>
    </xf>
    <xf numFmtId="0" fontId="16" fillId="3" borderId="6" xfId="0" applyFont="1" applyFill="1" applyBorder="1" applyAlignment="1">
      <alignment horizontal="left"/>
    </xf>
    <xf numFmtId="0" fontId="9" fillId="7" borderId="4" xfId="0" applyFont="1" applyFill="1" applyBorder="1" applyAlignment="1">
      <alignment horizontal="center"/>
    </xf>
    <xf numFmtId="0" fontId="9" fillId="7" borderId="5" xfId="0" applyFont="1" applyFill="1" applyBorder="1" applyAlignment="1">
      <alignment horizontal="center"/>
    </xf>
    <xf numFmtId="0" fontId="9" fillId="3" borderId="7" xfId="0" applyFont="1" applyFill="1" applyBorder="1" applyAlignment="1">
      <alignment horizontal="left"/>
    </xf>
    <xf numFmtId="0" fontId="9" fillId="3" borderId="0" xfId="0" applyFont="1" applyFill="1" applyAlignment="1">
      <alignment horizontal="left"/>
    </xf>
    <xf numFmtId="0" fontId="9" fillId="3" borderId="7" xfId="0" applyFont="1" applyFill="1" applyBorder="1" applyAlignment="1" applyProtection="1">
      <alignment horizontal="left"/>
      <protection locked="0"/>
    </xf>
    <xf numFmtId="0" fontId="9" fillId="3" borderId="0" xfId="0" applyFont="1" applyFill="1" applyAlignment="1" applyProtection="1">
      <alignment horizontal="left"/>
      <protection locked="0"/>
    </xf>
    <xf numFmtId="0" fontId="9" fillId="3" borderId="6" xfId="0" applyFont="1" applyFill="1" applyBorder="1" applyAlignment="1" applyProtection="1">
      <alignment horizontal="left"/>
      <protection locked="0"/>
    </xf>
    <xf numFmtId="0" fontId="13" fillId="3" borderId="7" xfId="0" applyFont="1" applyFill="1" applyBorder="1" applyAlignment="1">
      <alignment horizontal="left"/>
    </xf>
    <xf numFmtId="0" fontId="13" fillId="3" borderId="0" xfId="0" applyFont="1" applyFill="1" applyAlignment="1">
      <alignment horizontal="left"/>
    </xf>
    <xf numFmtId="0" fontId="14" fillId="3" borderId="2" xfId="0" applyFont="1" applyFill="1" applyBorder="1" applyAlignment="1">
      <alignment horizontal="left" vertical="center"/>
    </xf>
    <xf numFmtId="0" fontId="9" fillId="3" borderId="0" xfId="0" applyFont="1" applyFill="1" applyAlignment="1">
      <alignment horizontal="left" wrapText="1"/>
    </xf>
    <xf numFmtId="0" fontId="28" fillId="3" borderId="0" xfId="0" applyFont="1" applyFill="1" applyAlignment="1">
      <alignment horizontal="left" wrapText="1"/>
    </xf>
    <xf numFmtId="0" fontId="30" fillId="3" borderId="7" xfId="0" applyFont="1" applyFill="1" applyBorder="1" applyAlignment="1">
      <alignment horizontal="left" wrapText="1"/>
    </xf>
    <xf numFmtId="0" fontId="30" fillId="3" borderId="0" xfId="0" applyFont="1" applyFill="1" applyAlignment="1">
      <alignment horizontal="left" wrapText="1"/>
    </xf>
    <xf numFmtId="0" fontId="13" fillId="0" borderId="12" xfId="0" applyFont="1" applyBorder="1" applyAlignment="1">
      <alignment horizontal="left"/>
    </xf>
    <xf numFmtId="0" fontId="13" fillId="0" borderId="2" xfId="0" applyFont="1" applyBorder="1" applyAlignment="1">
      <alignment horizontal="left"/>
    </xf>
    <xf numFmtId="0" fontId="13" fillId="0" borderId="7" xfId="0" applyFont="1" applyBorder="1" applyAlignment="1">
      <alignment horizontal="left"/>
    </xf>
    <xf numFmtId="0" fontId="13" fillId="0" borderId="0" xfId="0" applyFont="1" applyAlignment="1">
      <alignment horizontal="left"/>
    </xf>
    <xf numFmtId="0" fontId="17" fillId="3" borderId="4" xfId="0" applyFont="1" applyFill="1" applyBorder="1" applyAlignment="1">
      <alignment horizontal="left"/>
    </xf>
    <xf numFmtId="0" fontId="17" fillId="3" borderId="8" xfId="0" applyFont="1" applyFill="1" applyBorder="1" applyAlignment="1">
      <alignment horizontal="left"/>
    </xf>
    <xf numFmtId="0" fontId="13" fillId="3" borderId="12" xfId="0" applyFont="1" applyFill="1" applyBorder="1" applyAlignment="1">
      <alignment horizontal="left"/>
    </xf>
    <xf numFmtId="0" fontId="13" fillId="3" borderId="2" xfId="0" applyFont="1" applyFill="1" applyBorder="1" applyAlignment="1">
      <alignment horizontal="left"/>
    </xf>
    <xf numFmtId="164" fontId="2" fillId="3" borderId="8" xfId="0" applyNumberFormat="1" applyFont="1" applyFill="1" applyBorder="1" applyAlignment="1">
      <alignment horizontal="center"/>
    </xf>
    <xf numFmtId="164" fontId="2" fillId="3" borderId="5" xfId="0" applyNumberFormat="1" applyFont="1" applyFill="1" applyBorder="1" applyAlignment="1">
      <alignment horizontal="center"/>
    </xf>
    <xf numFmtId="0" fontId="2" fillId="3" borderId="4" xfId="0" applyFont="1" applyFill="1" applyBorder="1" applyAlignment="1">
      <alignment horizontal="center"/>
    </xf>
    <xf numFmtId="0" fontId="2" fillId="3" borderId="8" xfId="0" applyFont="1" applyFill="1" applyBorder="1" applyAlignment="1">
      <alignment horizontal="center"/>
    </xf>
    <xf numFmtId="0" fontId="2" fillId="3" borderId="5" xfId="0" applyFont="1" applyFill="1" applyBorder="1" applyAlignment="1">
      <alignment horizontal="center"/>
    </xf>
  </cellXfs>
  <cellStyles count="7">
    <cellStyle name="20% - Accent4 2" xfId="5" xr:uid="{2CC39D8F-5CBF-4C56-802D-B08C371A6A85}"/>
    <cellStyle name="60% - Accent4 2" xfId="6" xr:uid="{083BC20B-C6C6-4CA6-91C2-1F7CD9CE5126}"/>
    <cellStyle name="Hyperkobling" xfId="2" builtinId="8"/>
    <cellStyle name="Inndata" xfId="1" builtinId="20"/>
    <cellStyle name="Input 2" xfId="4" xr:uid="{D15D4CAB-43D6-42CA-83CC-CF682E008043}"/>
    <cellStyle name="Normal" xfId="0" builtinId="0"/>
    <cellStyle name="Normal 2" xfId="3" xr:uid="{BDAFD023-CDD9-41D6-9C35-763FED1840AC}"/>
  </cellStyles>
  <dxfs count="0"/>
  <tableStyles count="0" defaultTableStyle="TableStyleMedium2" defaultPivotStyle="PivotStyleLight16"/>
  <colors>
    <mruColors>
      <color rgb="FF969696"/>
      <color rgb="FFFFCC99"/>
      <color rgb="FFFFBFAB"/>
      <color rgb="FFFEC57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17/06/relationships/rdRichValueTypes" Target="richData/rdRichValueTypes.xml"/><Relationship Id="rId2" Type="http://schemas.openxmlformats.org/officeDocument/2006/relationships/worksheet" Target="worksheets/sheet2.xml"/><Relationship Id="rId16" Type="http://schemas.microsoft.com/office/2017/06/relationships/rdRichValueStructure" Target="richData/rdrichvaluestructure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microsoft.com/office/2017/06/relationships/rdRichValue" Target="richData/rdrichvalue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nb-NO" sz="1400" baseline="0"/>
              <a:t>Utslipp gjennomføringsmetoder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INPUT!$A$70</c:f>
              <c:strCache>
                <c:ptCount val="1"/>
                <c:pt idx="0">
                  <c:v>Tradisjonell grøft utført med konvensjonelt dieseldrevet graveutstyr, inkludert materialer, transport og graving (A1-A5)</c:v>
                </c:pt>
              </c:strCache>
            </c:strRef>
          </c:tx>
          <c:spPr>
            <a:solidFill>
              <a:schemeClr val="accent2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INPUT!$B$68:$I$68</c15:sqref>
                  </c15:fullRef>
                </c:ext>
              </c:extLst>
              <c:f>INPUT!$I$68</c:f>
              <c:strCache>
                <c:ptCount val="1"/>
                <c:pt idx="0">
                  <c:v>Totalt utslipp kg CO2e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INPUT!$B$70:$I$70</c15:sqref>
                  </c15:fullRef>
                </c:ext>
              </c:extLst>
              <c:f>INPUT!$I$70</c:f>
              <c:numCache>
                <c:formatCode>General</c:formatCode>
                <c:ptCount val="1"/>
                <c:pt idx="0" formatCode="#,##0">
                  <c:v>45469.500803127543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D32-438B-8B2C-56742F291DB5}"/>
            </c:ext>
          </c:extLst>
        </c:ser>
        <c:ser>
          <c:idx val="3"/>
          <c:order val="3"/>
          <c:tx>
            <c:strRef>
              <c:f>INPUT!$A$72</c:f>
              <c:strCache>
                <c:ptCount val="1"/>
                <c:pt idx="0">
                  <c:v>Tradisjonell grøft utført med elektrifisert graveutstyr (kun graving er elektrisk), inkludert materialer, transport og graving (A1-A5)</c:v>
                </c:pt>
              </c:strCache>
            </c:strRef>
          </c:tx>
          <c:spPr>
            <a:solidFill>
              <a:schemeClr val="accent2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INPUT!$B$68:$I$68</c15:sqref>
                  </c15:fullRef>
                </c:ext>
              </c:extLst>
              <c:f>INPUT!$I$68</c:f>
              <c:strCache>
                <c:ptCount val="1"/>
                <c:pt idx="0">
                  <c:v>Totalt utslipp kg CO2e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INPUT!$B$72:$I$72</c15:sqref>
                  </c15:fullRef>
                </c:ext>
              </c:extLst>
              <c:f>INPUT!$I$72</c:f>
              <c:numCache>
                <c:formatCode>General</c:formatCode>
                <c:ptCount val="1"/>
                <c:pt idx="0" formatCode="#,##0">
                  <c:v>21857.369043127546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D32-438B-8B2C-56742F291DB5}"/>
            </c:ext>
          </c:extLst>
        </c:ser>
        <c:ser>
          <c:idx val="5"/>
          <c:order val="5"/>
          <c:tx>
            <c:strRef>
              <c:f>INPUT!$A$74</c:f>
              <c:strCache>
                <c:ptCount val="1"/>
                <c:pt idx="0">
                  <c:v>NO-dig grøft utført med blokking med konvensjonelt utstyr (diesel), inkludert materialer, PE-ledninger og punktgraving for stikk og kummer (A1-A5)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INPUT!$B$68:$I$68</c15:sqref>
                  </c15:fullRef>
                </c:ext>
              </c:extLst>
              <c:f>INPUT!$I$68</c:f>
              <c:strCache>
                <c:ptCount val="1"/>
                <c:pt idx="0">
                  <c:v>Totalt utslipp kg CO2e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INPUT!$B$74:$I$74</c15:sqref>
                  </c15:fullRef>
                </c:ext>
              </c:extLst>
              <c:f>INPUT!$I$74</c:f>
              <c:numCache>
                <c:formatCode>General</c:formatCode>
                <c:ptCount val="1"/>
                <c:pt idx="0" formatCode="#,##0">
                  <c:v>2758.4002002463335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D32-438B-8B2C-56742F291DB5}"/>
            </c:ext>
          </c:extLst>
        </c:ser>
        <c:ser>
          <c:idx val="7"/>
          <c:order val="7"/>
          <c:tx>
            <c:strRef>
              <c:f>INPUT!$A$76</c:f>
              <c:strCache>
                <c:ptCount val="1"/>
                <c:pt idx="0">
                  <c:v>NO-dig grøft utført med blokking med elektrisk utstyr, inkludert materialer, PE-ledninger, punktgraving for stikk og kummer (A1-A5)</c:v>
                </c:pt>
              </c:strCache>
            </c:strRef>
          </c:tx>
          <c:spPr>
            <a:solidFill>
              <a:schemeClr val="accent2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INPUT!$B$68:$I$68</c15:sqref>
                  </c15:fullRef>
                </c:ext>
              </c:extLst>
              <c:f>INPUT!$I$68</c:f>
              <c:strCache>
                <c:ptCount val="1"/>
                <c:pt idx="0">
                  <c:v>Totalt utslipp kg CO2e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INPUT!$B$76:$I$76</c15:sqref>
                  </c15:fullRef>
                </c:ext>
              </c:extLst>
              <c:f>INPUT!$I$76</c:f>
              <c:numCache>
                <c:formatCode>General</c:formatCode>
                <c:ptCount val="1"/>
                <c:pt idx="0" formatCode="#,##0">
                  <c:v>288.625498913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D32-438B-8B2C-56742F291DB5}"/>
            </c:ext>
          </c:extLst>
        </c:ser>
        <c:ser>
          <c:idx val="9"/>
          <c:order val="9"/>
          <c:tx>
            <c:strRef>
              <c:f>INPUT!$A$78</c:f>
              <c:strCache>
                <c:ptCount val="1"/>
                <c:pt idx="0">
                  <c:v>NO-dig med strømpe, kun inkludert materialer og transport (A1-A4)</c:v>
                </c:pt>
              </c:strCache>
            </c:strRef>
          </c:tx>
          <c:spPr>
            <a:solidFill>
              <a:schemeClr val="accent2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INPUT!$B$68:$I$68</c15:sqref>
                  </c15:fullRef>
                </c:ext>
              </c:extLst>
              <c:f>INPUT!$I$68</c:f>
              <c:strCache>
                <c:ptCount val="1"/>
                <c:pt idx="0">
                  <c:v>Totalt utslipp kg CO2e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INPUT!$B$78:$I$78</c15:sqref>
                  </c15:fullRef>
                </c:ext>
              </c:extLst>
              <c:f>INPUT!$I$78</c:f>
              <c:numCache>
                <c:formatCode>General</c:formatCode>
                <c:ptCount val="1"/>
                <c:pt idx="0" formatCode="#,##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D32-438B-8B2C-56742F291D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2446544"/>
        <c:axId val="192447024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INPUT!$A$69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ullRef>
                          <c15:sqref>INPUT!$B$68:$I$68</c15:sqref>
                        </c15:fullRef>
                        <c15:formulaRef>
                          <c15:sqref>INPUT!$I$68</c15:sqref>
                        </c15:formulaRef>
                      </c:ext>
                    </c:extLst>
                    <c:strCache>
                      <c:ptCount val="1"/>
                      <c:pt idx="0">
                        <c:v>Totalt utslipp kg CO2e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INPUT!$B$69:$I$69</c15:sqref>
                        </c15:fullRef>
                        <c15:formulaRef>
                          <c15:sqref>INPUT!$I$69</c15:sqref>
                        </c15:formulaRef>
                      </c:ext>
                    </c:extLst>
                    <c:numCache>
                      <c:formatCode>General</c:formatCode>
                      <c:ptCount val="1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5-BD32-438B-8B2C-56742F291DB5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INPUT!$A$71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INPUT!$B$68:$I$68</c15:sqref>
                        </c15:fullRef>
                        <c15:formulaRef>
                          <c15:sqref>INPUT!$I$68</c15:sqref>
                        </c15:formulaRef>
                      </c:ext>
                    </c:extLst>
                    <c:strCache>
                      <c:ptCount val="1"/>
                      <c:pt idx="0">
                        <c:v>Totalt utslipp kg CO2e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INPUT!$B$71:$I$71</c15:sqref>
                        </c15:fullRef>
                        <c15:formulaRef>
                          <c15:sqref>INPUT!$I$71</c15:sqref>
                        </c15:formulaRef>
                      </c:ext>
                    </c:extLst>
                    <c:numCache>
                      <c:formatCode>General</c:formatCode>
                      <c:ptCount val="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BD32-438B-8B2C-56742F291DB5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INPUT!$A$73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INPUT!$B$68:$I$68</c15:sqref>
                        </c15:fullRef>
                        <c15:formulaRef>
                          <c15:sqref>INPUT!$I$68</c15:sqref>
                        </c15:formulaRef>
                      </c:ext>
                    </c:extLst>
                    <c:strCache>
                      <c:ptCount val="1"/>
                      <c:pt idx="0">
                        <c:v>Totalt utslipp kg CO2e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INPUT!$B$73:$I$73</c15:sqref>
                        </c15:fullRef>
                        <c15:formulaRef>
                          <c15:sqref>INPUT!$I$73</c15:sqref>
                        </c15:formulaRef>
                      </c:ext>
                    </c:extLst>
                    <c:numCache>
                      <c:formatCode>General</c:formatCode>
                      <c:ptCount val="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BD32-438B-8B2C-56742F291DB5}"/>
                  </c:ext>
                </c:extLst>
              </c15:ser>
            </c15:filteredBarSeries>
            <c15:filteredBa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INPUT!$A$75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1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INPUT!$B$68:$I$68</c15:sqref>
                        </c15:fullRef>
                        <c15:formulaRef>
                          <c15:sqref>INPUT!$I$68</c15:sqref>
                        </c15:formulaRef>
                      </c:ext>
                    </c:extLst>
                    <c:strCache>
                      <c:ptCount val="1"/>
                      <c:pt idx="0">
                        <c:v>Totalt utslipp kg CO2e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INPUT!$B$75:$I$75</c15:sqref>
                        </c15:fullRef>
                        <c15:formulaRef>
                          <c15:sqref>INPUT!$I$75</c15:sqref>
                        </c15:formulaRef>
                      </c:ext>
                    </c:extLst>
                    <c:numCache>
                      <c:formatCode>General</c:formatCode>
                      <c:ptCount val="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BD32-438B-8B2C-56742F291DB5}"/>
                  </c:ext>
                </c:extLst>
              </c15:ser>
            </c15:filteredBarSeries>
            <c15:filteredBarSeries>
              <c15:ser>
                <c:idx val="8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INPUT!$A$77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3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INPUT!$B$68:$I$68</c15:sqref>
                        </c15:fullRef>
                        <c15:formulaRef>
                          <c15:sqref>INPUT!$I$68</c15:sqref>
                        </c15:formulaRef>
                      </c:ext>
                    </c:extLst>
                    <c:strCache>
                      <c:ptCount val="1"/>
                      <c:pt idx="0">
                        <c:v>Totalt utslipp kg CO2e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INPUT!$B$77:$I$77</c15:sqref>
                        </c15:fullRef>
                        <c15:formulaRef>
                          <c15:sqref>INPUT!$I$77</c15:sqref>
                        </c15:formulaRef>
                      </c:ext>
                    </c:extLst>
                    <c:numCache>
                      <c:formatCode>General</c:formatCode>
                      <c:ptCount val="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BD32-438B-8B2C-56742F291DB5}"/>
                  </c:ext>
                </c:extLst>
              </c15:ser>
            </c15:filteredBarSeries>
          </c:ext>
        </c:extLst>
      </c:barChart>
      <c:catAx>
        <c:axId val="192446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192447024"/>
        <c:crosses val="autoZero"/>
        <c:auto val="1"/>
        <c:lblAlgn val="ctr"/>
        <c:lblOffset val="100"/>
        <c:noMultiLvlLbl val="0"/>
      </c:catAx>
      <c:valAx>
        <c:axId val="1924470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b-NO" sz="1100" baseline="0"/>
                  <a:t> kg CO2e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b-N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1924465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nb-NO" sz="1600" baseline="0"/>
              <a:t>Utslipp gjennomføringsmetoder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INPUT!$A$70</c:f>
              <c:strCache>
                <c:ptCount val="1"/>
                <c:pt idx="0">
                  <c:v>Tradisjonell grøft utført med konvensjonelt dieseldrevet graveutstyr, inkludert materialer, transport og graving (A1-A5)</c:v>
                </c:pt>
              </c:strCache>
            </c:strRef>
          </c:tx>
          <c:spPr>
            <a:solidFill>
              <a:schemeClr val="accent2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INPUT!$B$68:$I$68</c15:sqref>
                  </c15:fullRef>
                </c:ext>
              </c:extLst>
              <c:f>INPUT!$I$68</c:f>
              <c:strCache>
                <c:ptCount val="1"/>
                <c:pt idx="0">
                  <c:v>Totalt utslipp kg CO2e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INPUT!$B$70:$I$70</c15:sqref>
                  </c15:fullRef>
                </c:ext>
              </c:extLst>
              <c:f>INPUT!$I$70</c:f>
              <c:numCache>
                <c:formatCode>General</c:formatCode>
                <c:ptCount val="1"/>
                <c:pt idx="0" formatCode="#,##0">
                  <c:v>45469.500803127543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CB4-41BD-A152-86BED00E25DF}"/>
            </c:ext>
          </c:extLst>
        </c:ser>
        <c:ser>
          <c:idx val="3"/>
          <c:order val="3"/>
          <c:tx>
            <c:strRef>
              <c:f>INPUT!$A$72</c:f>
              <c:strCache>
                <c:ptCount val="1"/>
                <c:pt idx="0">
                  <c:v>Tradisjonell grøft utført med elektrifisert graveutstyr (kun graving er elektrisk), inkludert materialer, transport og graving (A1-A5)</c:v>
                </c:pt>
              </c:strCache>
            </c:strRef>
          </c:tx>
          <c:spPr>
            <a:solidFill>
              <a:schemeClr val="accent2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INPUT!$B$68:$I$68</c15:sqref>
                  </c15:fullRef>
                </c:ext>
              </c:extLst>
              <c:f>INPUT!$I$68</c:f>
              <c:strCache>
                <c:ptCount val="1"/>
                <c:pt idx="0">
                  <c:v>Totalt utslipp kg CO2e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INPUT!$B$72:$I$72</c15:sqref>
                  </c15:fullRef>
                </c:ext>
              </c:extLst>
              <c:f>INPUT!$I$72</c:f>
              <c:numCache>
                <c:formatCode>General</c:formatCode>
                <c:ptCount val="1"/>
                <c:pt idx="0" formatCode="#,##0">
                  <c:v>21857.369043127546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CB4-41BD-A152-86BED00E25DF}"/>
            </c:ext>
          </c:extLst>
        </c:ser>
        <c:ser>
          <c:idx val="5"/>
          <c:order val="5"/>
          <c:tx>
            <c:strRef>
              <c:f>INPUT!$A$74</c:f>
              <c:strCache>
                <c:ptCount val="1"/>
                <c:pt idx="0">
                  <c:v>NO-dig grøft utført med blokking med konvensjonelt utstyr (diesel), inkludert materialer, PE-ledninger og punktgraving for stikk og kummer (A1-A5)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INPUT!$B$68:$I$68</c15:sqref>
                  </c15:fullRef>
                </c:ext>
              </c:extLst>
              <c:f>INPUT!$I$68</c:f>
              <c:strCache>
                <c:ptCount val="1"/>
                <c:pt idx="0">
                  <c:v>Totalt utslipp kg CO2e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INPUT!$B$74:$I$74</c15:sqref>
                  </c15:fullRef>
                </c:ext>
              </c:extLst>
              <c:f>INPUT!$I$74</c:f>
              <c:numCache>
                <c:formatCode>General</c:formatCode>
                <c:ptCount val="1"/>
                <c:pt idx="0" formatCode="#,##0">
                  <c:v>2758.4002002463335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CB4-41BD-A152-86BED00E25DF}"/>
            </c:ext>
          </c:extLst>
        </c:ser>
        <c:ser>
          <c:idx val="7"/>
          <c:order val="7"/>
          <c:tx>
            <c:strRef>
              <c:f>INPUT!$A$76</c:f>
              <c:strCache>
                <c:ptCount val="1"/>
                <c:pt idx="0">
                  <c:v>NO-dig grøft utført med blokking med elektrisk utstyr, inkludert materialer, PE-ledninger, punktgraving for stikk og kummer (A1-A5)</c:v>
                </c:pt>
              </c:strCache>
            </c:strRef>
          </c:tx>
          <c:spPr>
            <a:solidFill>
              <a:schemeClr val="accent2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INPUT!$B$68:$I$68</c15:sqref>
                  </c15:fullRef>
                </c:ext>
              </c:extLst>
              <c:f>INPUT!$I$68</c:f>
              <c:strCache>
                <c:ptCount val="1"/>
                <c:pt idx="0">
                  <c:v>Totalt utslipp kg CO2e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INPUT!$B$76:$I$76</c15:sqref>
                  </c15:fullRef>
                </c:ext>
              </c:extLst>
              <c:f>INPUT!$I$76</c:f>
              <c:numCache>
                <c:formatCode>General</c:formatCode>
                <c:ptCount val="1"/>
                <c:pt idx="0" formatCode="#,##0">
                  <c:v>288.625498913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CB4-41BD-A152-86BED00E25DF}"/>
            </c:ext>
          </c:extLst>
        </c:ser>
        <c:ser>
          <c:idx val="9"/>
          <c:order val="9"/>
          <c:tx>
            <c:strRef>
              <c:f>INPUT!$A$78</c:f>
              <c:strCache>
                <c:ptCount val="1"/>
                <c:pt idx="0">
                  <c:v>NO-dig med strømpe, kun inkludert materialer og transport (A1-A4)</c:v>
                </c:pt>
              </c:strCache>
            </c:strRef>
          </c:tx>
          <c:spPr>
            <a:solidFill>
              <a:schemeClr val="accent2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INPUT!$B$68:$I$68</c15:sqref>
                  </c15:fullRef>
                </c:ext>
              </c:extLst>
              <c:f>INPUT!$I$68</c:f>
              <c:strCache>
                <c:ptCount val="1"/>
                <c:pt idx="0">
                  <c:v>Totalt utslipp kg CO2e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INPUT!$B$78:$I$78</c15:sqref>
                  </c15:fullRef>
                </c:ext>
              </c:extLst>
              <c:f>INPUT!$I$78</c:f>
              <c:numCache>
                <c:formatCode>General</c:formatCode>
                <c:ptCount val="1"/>
                <c:pt idx="0" formatCode="#,##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CB4-41BD-A152-86BED00E25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2446544"/>
        <c:axId val="192447024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INPUT!$A$69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ullRef>
                          <c15:sqref>INPUT!$B$68:$I$68</c15:sqref>
                        </c15:fullRef>
                        <c15:formulaRef>
                          <c15:sqref>INPUT!$I$68</c15:sqref>
                        </c15:formulaRef>
                      </c:ext>
                    </c:extLst>
                    <c:strCache>
                      <c:ptCount val="1"/>
                      <c:pt idx="0">
                        <c:v>Totalt utslipp kg CO2e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INPUT!$B$69:$I$69</c15:sqref>
                        </c15:fullRef>
                        <c15:formulaRef>
                          <c15:sqref>INPUT!$I$69</c15:sqref>
                        </c15:formulaRef>
                      </c:ext>
                    </c:extLst>
                    <c:numCache>
                      <c:formatCode>General</c:formatCode>
                      <c:ptCount val="1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3CB4-41BD-A152-86BED00E25DF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INPUT!$A$71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INPUT!$B$68:$I$68</c15:sqref>
                        </c15:fullRef>
                        <c15:formulaRef>
                          <c15:sqref>INPUT!$I$68</c15:sqref>
                        </c15:formulaRef>
                      </c:ext>
                    </c:extLst>
                    <c:strCache>
                      <c:ptCount val="1"/>
                      <c:pt idx="0">
                        <c:v>Totalt utslipp kg CO2e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INPUT!$B$71:$I$71</c15:sqref>
                        </c15:fullRef>
                        <c15:formulaRef>
                          <c15:sqref>INPUT!$I$71</c15:sqref>
                        </c15:formulaRef>
                      </c:ext>
                    </c:extLst>
                    <c:numCache>
                      <c:formatCode>General</c:formatCode>
                      <c:ptCount val="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3CB4-41BD-A152-86BED00E25DF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INPUT!$A$73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INPUT!$B$68:$I$68</c15:sqref>
                        </c15:fullRef>
                        <c15:formulaRef>
                          <c15:sqref>INPUT!$I$68</c15:sqref>
                        </c15:formulaRef>
                      </c:ext>
                    </c:extLst>
                    <c:strCache>
                      <c:ptCount val="1"/>
                      <c:pt idx="0">
                        <c:v>Totalt utslipp kg CO2e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INPUT!$B$73:$I$73</c15:sqref>
                        </c15:fullRef>
                        <c15:formulaRef>
                          <c15:sqref>INPUT!$I$73</c15:sqref>
                        </c15:formulaRef>
                      </c:ext>
                    </c:extLst>
                    <c:numCache>
                      <c:formatCode>General</c:formatCode>
                      <c:ptCount val="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3CB4-41BD-A152-86BED00E25DF}"/>
                  </c:ext>
                </c:extLst>
              </c15:ser>
            </c15:filteredBarSeries>
            <c15:filteredBa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INPUT!$A$75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1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INPUT!$B$68:$I$68</c15:sqref>
                        </c15:fullRef>
                        <c15:formulaRef>
                          <c15:sqref>INPUT!$I$68</c15:sqref>
                        </c15:formulaRef>
                      </c:ext>
                    </c:extLst>
                    <c:strCache>
                      <c:ptCount val="1"/>
                      <c:pt idx="0">
                        <c:v>Totalt utslipp kg CO2e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INPUT!$B$75:$I$75</c15:sqref>
                        </c15:fullRef>
                        <c15:formulaRef>
                          <c15:sqref>INPUT!$I$75</c15:sqref>
                        </c15:formulaRef>
                      </c:ext>
                    </c:extLst>
                    <c:numCache>
                      <c:formatCode>General</c:formatCode>
                      <c:ptCount val="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3CB4-41BD-A152-86BED00E25DF}"/>
                  </c:ext>
                </c:extLst>
              </c15:ser>
            </c15:filteredBarSeries>
            <c15:filteredBarSeries>
              <c15:ser>
                <c:idx val="8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INPUT!$A$77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3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INPUT!$B$68:$I$68</c15:sqref>
                        </c15:fullRef>
                        <c15:formulaRef>
                          <c15:sqref>INPUT!$I$68</c15:sqref>
                        </c15:formulaRef>
                      </c:ext>
                    </c:extLst>
                    <c:strCache>
                      <c:ptCount val="1"/>
                      <c:pt idx="0">
                        <c:v>Totalt utslipp kg CO2e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INPUT!$B$77:$I$77</c15:sqref>
                        </c15:fullRef>
                        <c15:formulaRef>
                          <c15:sqref>INPUT!$I$77</c15:sqref>
                        </c15:formulaRef>
                      </c:ext>
                    </c:extLst>
                    <c:numCache>
                      <c:formatCode>General</c:formatCode>
                      <c:ptCount val="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3CB4-41BD-A152-86BED00E25DF}"/>
                  </c:ext>
                </c:extLst>
              </c15:ser>
            </c15:filteredBarSeries>
          </c:ext>
        </c:extLst>
      </c:barChart>
      <c:catAx>
        <c:axId val="192446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192447024"/>
        <c:crosses val="autoZero"/>
        <c:auto val="1"/>
        <c:lblAlgn val="ctr"/>
        <c:lblOffset val="100"/>
        <c:noMultiLvlLbl val="0"/>
      </c:catAx>
      <c:valAx>
        <c:axId val="1924470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b-NO" sz="1100" baseline="0"/>
                  <a:t> kg CO2e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b-N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1924465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34288</xdr:colOff>
      <xdr:row>13</xdr:row>
      <xdr:rowOff>0</xdr:rowOff>
    </xdr:from>
    <xdr:to>
      <xdr:col>6</xdr:col>
      <xdr:colOff>678179</xdr:colOff>
      <xdr:row>40</xdr:row>
      <xdr:rowOff>79245</xdr:rowOff>
    </xdr:to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2056834E-C33A-46D7-B7D3-139BA13AEFC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103737</xdr:colOff>
      <xdr:row>0</xdr:row>
      <xdr:rowOff>47674</xdr:rowOff>
    </xdr:from>
    <xdr:to>
      <xdr:col>30</xdr:col>
      <xdr:colOff>440578</xdr:colOff>
      <xdr:row>33</xdr:row>
      <xdr:rowOff>176305</xdr:rowOff>
    </xdr:to>
    <xdr:graphicFrame macro="">
      <xdr:nvGraphicFramePr>
        <xdr:cNvPr id="9" name="Chart 1">
          <a:extLst>
            <a:ext uri="{FF2B5EF4-FFF2-40B4-BE49-F238E27FC236}">
              <a16:creationId xmlns:a16="http://schemas.microsoft.com/office/drawing/2014/main" id="{021C4D48-BF01-D8A6-6C13-C0990BCECFF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s://anskaffelser.no/nyhetsarkiv/nullutslipp-bor-prioriteres-i-offentlige-anskaffelser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ahlsell.no/products/vvs-teknisk/stalror-og-deler/rustfrie-ror/1802972---219.1x2.0-sveiset-ror-en1.4307-en10217-7-tc1-------kgm-10.87" TargetMode="External"/><Relationship Id="rId3" Type="http://schemas.openxmlformats.org/officeDocument/2006/relationships/hyperlink" Target="https://www.amiblu.com/wp-content/uploads/Flowtite-Technical-Data-Pressure-Pipes.pdf" TargetMode="External"/><Relationship Id="rId7" Type="http://schemas.openxmlformats.org/officeDocument/2006/relationships/hyperlink" Target="https://www.nobi.no/betongprodukter-vann-og-avlop/ror-og-rordeler/basal-falsror/" TargetMode="External"/><Relationship Id="rId2" Type="http://schemas.openxmlformats.org/officeDocument/2006/relationships/hyperlink" Target="https://www.gpa.no/Produkter/PVC-UPVC-CABS/PVC-U/Ror/Ror_PN10" TargetMode="External"/><Relationship Id="rId1" Type="http://schemas.openxmlformats.org/officeDocument/2006/relationships/hyperlink" Target="https://www.pipelife.no/content/dam/pipelife/norway/marketing/general/r%C3%B8rh%C3%A5ndboka/r%C3%B8rh%C3%A5ndboka2021/R-PE-tabeller.pdf" TargetMode="External"/><Relationship Id="rId6" Type="http://schemas.openxmlformats.org/officeDocument/2006/relationships/hyperlink" Target="https://hallingplast.no/media/py2ds2mn/pp-grunnavloep-og-overvannsroer_hallingplast_produktdatablad.pdf" TargetMode="External"/><Relationship Id="rId5" Type="http://schemas.openxmlformats.org/officeDocument/2006/relationships/hyperlink" Target="https://www.uponor.com/nb-no/infra/s/iq-blue-ror-300mm-3m-sn8-pp-dv-m-muffe-1134142" TargetMode="External"/><Relationship Id="rId4" Type="http://schemas.openxmlformats.org/officeDocument/2006/relationships/hyperlink" Target="https://www.ahlsell.no/products/va-og-mark/stopejernsror/stopejernsror/2031127---dn150-duktiltror-1-kamret-c64-znal-400-gm--100-m-epoxy" TargetMode="External"/><Relationship Id="rId9" Type="http://schemas.openxmlformats.org/officeDocument/2006/relationships/hyperlink" Target="https://katalog.pipelife.no/fag/70005750/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epddanmark.dk/media/1vefhpw0/md-23008-en.pdf" TargetMode="External"/><Relationship Id="rId2" Type="http://schemas.openxmlformats.org/officeDocument/2006/relationships/hyperlink" Target="https://www.epddanmark.dk/media/1vefhpw0/md-23008-en.pdf" TargetMode="External"/><Relationship Id="rId1" Type="http://schemas.openxmlformats.org/officeDocument/2006/relationships/hyperlink" Target="https://api.environdec.com/api/v1/EPDLibrary/Files/c499f697-124b-4cb0-e00a-08dbf085b35e/Data" TargetMode="External"/><Relationship Id="rId5" Type="http://schemas.openxmlformats.org/officeDocument/2006/relationships/hyperlink" Target="https://api.environdec.com/api/v1/EPDLibrary/Files/c499f697-124b-4cb0-e00a-08dbf085b35e/Data" TargetMode="External"/><Relationship Id="rId4" Type="http://schemas.openxmlformats.org/officeDocument/2006/relationships/hyperlink" Target="https://www.epddanmark.dk/media/1vefhpw0/md-23008-en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6BD9F1-4CA1-4E97-AC61-44F48E2EC33A}">
  <dimension ref="A1:I9"/>
  <sheetViews>
    <sheetView workbookViewId="0">
      <selection activeCell="D7" sqref="D7"/>
    </sheetView>
  </sheetViews>
  <sheetFormatPr defaultColWidth="11.43359375" defaultRowHeight="15" x14ac:dyDescent="0.2"/>
  <cols>
    <col min="1" max="1" width="11.43359375" style="1"/>
    <col min="2" max="2" width="15.87109375" style="1" bestFit="1" customWidth="1"/>
    <col min="3" max="16384" width="11.43359375" style="1"/>
  </cols>
  <sheetData>
    <row r="1" spans="1:9" ht="24.75" x14ac:dyDescent="0.35">
      <c r="A1" s="3" t="s">
        <v>0</v>
      </c>
    </row>
    <row r="3" spans="1:9" x14ac:dyDescent="0.2">
      <c r="B3" s="2"/>
    </row>
    <row r="6" spans="1:9" x14ac:dyDescent="0.2">
      <c r="A6" s="288"/>
      <c r="B6" s="288"/>
      <c r="C6" s="288"/>
      <c r="D6" s="288"/>
      <c r="E6" s="288"/>
      <c r="F6" s="288"/>
      <c r="G6" s="288"/>
      <c r="H6" s="288"/>
    </row>
    <row r="7" spans="1:9" ht="18.75" x14ac:dyDescent="0.25">
      <c r="A7" s="287" t="s">
        <v>1</v>
      </c>
      <c r="B7" s="287"/>
      <c r="C7" s="288"/>
      <c r="D7" s="288"/>
      <c r="E7" s="288"/>
      <c r="F7" s="288"/>
      <c r="G7" s="288"/>
      <c r="H7" s="288"/>
      <c r="I7" s="288"/>
    </row>
    <row r="8" spans="1:9" x14ac:dyDescent="0.2">
      <c r="A8" s="288"/>
      <c r="B8" s="288"/>
      <c r="C8" s="288"/>
      <c r="D8" s="288"/>
      <c r="E8" s="288"/>
      <c r="F8" s="288"/>
      <c r="G8" s="288"/>
      <c r="H8" s="288"/>
    </row>
    <row r="9" spans="1:9" x14ac:dyDescent="0.2">
      <c r="A9" s="288"/>
      <c r="B9" s="288"/>
      <c r="C9" s="288"/>
      <c r="D9" s="288"/>
      <c r="E9" s="288"/>
      <c r="F9" s="288"/>
      <c r="G9" s="288"/>
      <c r="H9" s="288"/>
    </row>
  </sheetData>
  <sheetProtection algorithmName="SHA-512" hashValue="gMR+kPcCIxkmaDbmD1o4NBUmBP/vnwugzaO4lFxQJkwIINnNQ7V6xw+I81uHhNV4HgkeTNPqJcTxAvAAgFqlDw==" saltValue="0OMAVv+lC2BcHKX5Dpz2pA==" spinCount="100000" sheet="1" selectLockedCells="1"/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E1F3A7-ED9D-4237-90FD-0DE67C8C8E09}">
  <dimension ref="B1:L113"/>
  <sheetViews>
    <sheetView workbookViewId="0">
      <selection activeCell="G44" sqref="G44"/>
    </sheetView>
  </sheetViews>
  <sheetFormatPr defaultColWidth="8.875" defaultRowHeight="15" x14ac:dyDescent="0.2"/>
  <cols>
    <col min="1" max="1" width="8.875" style="1"/>
    <col min="2" max="2" width="30.265625" style="1" bestFit="1" customWidth="1"/>
    <col min="3" max="3" width="17.75390625" style="1" bestFit="1" customWidth="1"/>
    <col min="4" max="5" width="8.875" style="1"/>
    <col min="6" max="6" width="17.21875" style="1" customWidth="1"/>
    <col min="7" max="9" width="17.75390625" style="1" bestFit="1" customWidth="1"/>
    <col min="10" max="12" width="17.75390625" style="1" customWidth="1"/>
    <col min="13" max="16384" width="8.875" style="1"/>
  </cols>
  <sheetData>
    <row r="1" spans="2:10" ht="25.9" customHeight="1" x14ac:dyDescent="0.25">
      <c r="B1" s="17" t="s">
        <v>272</v>
      </c>
      <c r="F1" s="17"/>
      <c r="I1" s="17"/>
    </row>
    <row r="2" spans="2:10" x14ac:dyDescent="0.2">
      <c r="B2" s="175" t="s">
        <v>273</v>
      </c>
      <c r="C2" s="193"/>
      <c r="F2" s="2"/>
      <c r="I2" s="2"/>
      <c r="J2" s="2"/>
    </row>
    <row r="3" spans="2:10" x14ac:dyDescent="0.2">
      <c r="B3" s="194" t="s">
        <v>48</v>
      </c>
      <c r="C3" s="167"/>
    </row>
    <row r="4" spans="2:10" x14ac:dyDescent="0.2">
      <c r="B4" s="194" t="s">
        <v>231</v>
      </c>
      <c r="C4" s="167"/>
    </row>
    <row r="5" spans="2:10" x14ac:dyDescent="0.2">
      <c r="B5" s="194" t="s">
        <v>51</v>
      </c>
      <c r="C5" s="167"/>
    </row>
    <row r="6" spans="2:10" x14ac:dyDescent="0.2">
      <c r="B6" s="194" t="s">
        <v>43</v>
      </c>
      <c r="C6" s="167"/>
    </row>
    <row r="7" spans="2:10" x14ac:dyDescent="0.2">
      <c r="B7" s="194" t="s">
        <v>234</v>
      </c>
      <c r="C7" s="167"/>
    </row>
    <row r="8" spans="2:10" x14ac:dyDescent="0.2">
      <c r="B8" s="194" t="s">
        <v>235</v>
      </c>
      <c r="C8" s="167"/>
    </row>
    <row r="9" spans="2:10" x14ac:dyDescent="0.2">
      <c r="B9" s="194" t="s">
        <v>46</v>
      </c>
      <c r="C9" s="167"/>
    </row>
    <row r="10" spans="2:10" x14ac:dyDescent="0.2">
      <c r="B10" s="195" t="s">
        <v>250</v>
      </c>
      <c r="C10" s="167"/>
    </row>
    <row r="11" spans="2:10" x14ac:dyDescent="0.2">
      <c r="B11" s="16"/>
      <c r="C11" s="167"/>
    </row>
    <row r="12" spans="2:10" x14ac:dyDescent="0.2">
      <c r="B12" s="16"/>
      <c r="C12" s="167"/>
    </row>
    <row r="13" spans="2:10" ht="16.5" x14ac:dyDescent="0.25">
      <c r="B13" s="17" t="s">
        <v>274</v>
      </c>
      <c r="C13" s="167"/>
    </row>
    <row r="14" spans="2:10" x14ac:dyDescent="0.2">
      <c r="B14" s="175" t="s">
        <v>273</v>
      </c>
      <c r="C14" s="167"/>
    </row>
    <row r="15" spans="2:10" x14ac:dyDescent="0.2">
      <c r="B15" s="171" t="s">
        <v>43</v>
      </c>
      <c r="C15" s="167"/>
    </row>
    <row r="16" spans="2:10" x14ac:dyDescent="0.2">
      <c r="B16" s="172" t="s">
        <v>57</v>
      </c>
      <c r="C16" s="167"/>
    </row>
    <row r="17" spans="2:3" x14ac:dyDescent="0.2">
      <c r="B17" s="16"/>
      <c r="C17" s="167"/>
    </row>
    <row r="18" spans="2:3" x14ac:dyDescent="0.2">
      <c r="B18" s="16"/>
      <c r="C18" s="167"/>
    </row>
    <row r="19" spans="2:3" ht="16.5" x14ac:dyDescent="0.25">
      <c r="B19" s="17" t="s">
        <v>275</v>
      </c>
      <c r="C19" s="167"/>
    </row>
    <row r="20" spans="2:3" x14ac:dyDescent="0.2">
      <c r="B20" s="57" t="s">
        <v>273</v>
      </c>
      <c r="C20" s="176" t="s">
        <v>276</v>
      </c>
    </row>
    <row r="21" spans="2:3" x14ac:dyDescent="0.2">
      <c r="B21" s="8" t="s">
        <v>69</v>
      </c>
      <c r="C21" s="173">
        <v>150</v>
      </c>
    </row>
    <row r="22" spans="2:3" x14ac:dyDescent="0.2">
      <c r="B22" s="8" t="s">
        <v>71</v>
      </c>
      <c r="C22" s="173">
        <v>200</v>
      </c>
    </row>
    <row r="23" spans="2:3" x14ac:dyDescent="0.2">
      <c r="B23" s="8"/>
      <c r="C23" s="173">
        <v>225</v>
      </c>
    </row>
    <row r="24" spans="2:3" x14ac:dyDescent="0.2">
      <c r="B24" s="8"/>
      <c r="C24" s="173">
        <v>250</v>
      </c>
    </row>
    <row r="25" spans="2:3" x14ac:dyDescent="0.2">
      <c r="B25" s="8"/>
      <c r="C25" s="173">
        <v>300</v>
      </c>
    </row>
    <row r="26" spans="2:3" x14ac:dyDescent="0.2">
      <c r="B26" s="8"/>
      <c r="C26" s="173">
        <v>350</v>
      </c>
    </row>
    <row r="27" spans="2:3" x14ac:dyDescent="0.2">
      <c r="B27" s="8"/>
      <c r="C27" s="173">
        <v>400</v>
      </c>
    </row>
    <row r="28" spans="2:3" x14ac:dyDescent="0.2">
      <c r="B28" s="8"/>
      <c r="C28" s="173">
        <v>450</v>
      </c>
    </row>
    <row r="29" spans="2:3" x14ac:dyDescent="0.2">
      <c r="B29" s="8"/>
      <c r="C29" s="173">
        <v>500</v>
      </c>
    </row>
    <row r="30" spans="2:3" x14ac:dyDescent="0.2">
      <c r="B30" s="8"/>
      <c r="C30" s="173">
        <v>600</v>
      </c>
    </row>
    <row r="31" spans="2:3" x14ac:dyDescent="0.2">
      <c r="B31" s="8"/>
      <c r="C31" s="173">
        <v>700</v>
      </c>
    </row>
    <row r="32" spans="2:3" x14ac:dyDescent="0.2">
      <c r="B32" s="8"/>
      <c r="C32" s="173">
        <v>800</v>
      </c>
    </row>
    <row r="33" spans="2:12" x14ac:dyDescent="0.2">
      <c r="B33" s="8"/>
      <c r="C33" s="173">
        <v>900</v>
      </c>
    </row>
    <row r="34" spans="2:12" x14ac:dyDescent="0.2">
      <c r="B34" s="8"/>
      <c r="C34" s="173">
        <v>1000</v>
      </c>
    </row>
    <row r="35" spans="2:12" x14ac:dyDescent="0.2">
      <c r="B35" s="8"/>
      <c r="C35" s="173">
        <v>1100</v>
      </c>
    </row>
    <row r="36" spans="2:12" x14ac:dyDescent="0.2">
      <c r="B36" s="8"/>
      <c r="C36" s="173">
        <v>1200</v>
      </c>
    </row>
    <row r="37" spans="2:12" x14ac:dyDescent="0.2">
      <c r="B37" s="8"/>
      <c r="C37" s="173">
        <v>1300</v>
      </c>
    </row>
    <row r="38" spans="2:12" x14ac:dyDescent="0.2">
      <c r="B38" s="8"/>
      <c r="C38" s="173">
        <v>1400</v>
      </c>
    </row>
    <row r="39" spans="2:12" x14ac:dyDescent="0.2">
      <c r="B39" s="8"/>
      <c r="C39" s="173">
        <v>1500</v>
      </c>
    </row>
    <row r="40" spans="2:12" x14ac:dyDescent="0.2">
      <c r="B40" s="10"/>
      <c r="C40" s="174">
        <v>1600</v>
      </c>
    </row>
    <row r="44" spans="2:12" ht="16.5" x14ac:dyDescent="0.2">
      <c r="G44" s="192"/>
    </row>
    <row r="45" spans="2:12" x14ac:dyDescent="0.2">
      <c r="B45" s="2"/>
      <c r="C45" s="2"/>
      <c r="F45" s="337" t="s">
        <v>277</v>
      </c>
      <c r="G45" s="338"/>
      <c r="H45" s="338"/>
      <c r="I45" s="338"/>
      <c r="J45" s="338"/>
      <c r="K45" s="338"/>
      <c r="L45" s="339"/>
    </row>
    <row r="46" spans="2:12" x14ac:dyDescent="0.2">
      <c r="B46" s="2"/>
      <c r="C46" s="2"/>
      <c r="F46" s="57" t="s">
        <v>42</v>
      </c>
      <c r="G46" s="58" t="s">
        <v>45</v>
      </c>
      <c r="H46" s="58" t="s">
        <v>47</v>
      </c>
      <c r="I46" s="58" t="s">
        <v>49</v>
      </c>
      <c r="J46" s="58" t="s">
        <v>50</v>
      </c>
      <c r="K46" s="58" t="s">
        <v>52</v>
      </c>
      <c r="L46" s="176" t="s">
        <v>53</v>
      </c>
    </row>
    <row r="47" spans="2:12" x14ac:dyDescent="0.2">
      <c r="B47" s="211" t="s">
        <v>278</v>
      </c>
      <c r="C47" s="212" t="s">
        <v>279</v>
      </c>
      <c r="F47" s="297" t="s">
        <v>280</v>
      </c>
      <c r="G47" s="104" t="s">
        <v>280</v>
      </c>
      <c r="H47" s="104" t="s">
        <v>280</v>
      </c>
      <c r="I47" s="104" t="s">
        <v>280</v>
      </c>
      <c r="J47" s="104" t="s">
        <v>280</v>
      </c>
      <c r="K47" s="104" t="s">
        <v>280</v>
      </c>
      <c r="L47" s="88" t="s">
        <v>280</v>
      </c>
    </row>
    <row r="48" spans="2:12" x14ac:dyDescent="0.2">
      <c r="B48" s="184" t="s">
        <v>48</v>
      </c>
      <c r="C48" s="196">
        <v>110</v>
      </c>
      <c r="F48" s="8" cm="1">
        <f t="array" ref="F48:F63">_xlfn.UNIQUE(_xlfn._xlws.FILTER($C$48:$C$113,$B$48:$B$113=INPUT!C26))</f>
        <v>110</v>
      </c>
      <c r="G48" s="1" t="e" cm="1" vm="1">
        <f t="array" ref="G48">_xlfn.UNIQUE(_xlfn._xlws.FILTER($C$48:$C$113,$B$48:$B$113=INPUT!C27))</f>
        <v>#VALUE!</v>
      </c>
      <c r="H48" s="1" t="e" cm="1" vm="1">
        <f t="array" ref="H48">_xlfn.UNIQUE(_xlfn._xlws.FILTER($C$48:$C$113,$B$48:$B$113=INPUT!C28))</f>
        <v>#VALUE!</v>
      </c>
      <c r="I48" s="1" t="e" cm="1" vm="1">
        <f t="array" ref="I48">_xlfn.UNIQUE(_xlfn._xlws.FILTER($C$48:$C$113,$B$48:$B$113=INPUT!C29))</f>
        <v>#VALUE!</v>
      </c>
      <c r="J48" s="1" t="e" cm="1" vm="1">
        <f t="array" ref="J48">_xlfn.UNIQUE(_xlfn._xlws.FILTER($C$48:$C$113,$B$48:$B$113=INPUT!C30))</f>
        <v>#VALUE!</v>
      </c>
      <c r="K48" s="1" t="e" cm="1" vm="1">
        <f t="array" ref="K48">_xlfn.UNIQUE(_xlfn._xlws.FILTER($C$48:$C$113,$B$48:$B$113=INPUT!C31))</f>
        <v>#VALUE!</v>
      </c>
      <c r="L48" s="9" t="e" cm="1" vm="1">
        <f t="array" ref="L48">_xlfn.UNIQUE(_xlfn._xlws.FILTER($C$48:$C$113,$B$48:$B$113=INPUT!C32))</f>
        <v>#VALUE!</v>
      </c>
    </row>
    <row r="49" spans="2:12" x14ac:dyDescent="0.2">
      <c r="B49" s="80" t="s">
        <v>48</v>
      </c>
      <c r="C49" s="197">
        <v>125</v>
      </c>
      <c r="F49" s="8">
        <v>125</v>
      </c>
      <c r="L49" s="9"/>
    </row>
    <row r="50" spans="2:12" x14ac:dyDescent="0.2">
      <c r="B50" s="80" t="s">
        <v>48</v>
      </c>
      <c r="C50" s="198">
        <v>140</v>
      </c>
      <c r="F50" s="8">
        <v>140</v>
      </c>
      <c r="L50" s="9"/>
    </row>
    <row r="51" spans="2:12" x14ac:dyDescent="0.2">
      <c r="B51" s="80" t="s">
        <v>48</v>
      </c>
      <c r="C51" s="197">
        <v>160</v>
      </c>
      <c r="F51" s="8">
        <v>160</v>
      </c>
      <c r="L51" s="9"/>
    </row>
    <row r="52" spans="2:12" x14ac:dyDescent="0.2">
      <c r="B52" s="80" t="s">
        <v>48</v>
      </c>
      <c r="C52" s="198">
        <v>180</v>
      </c>
      <c r="F52" s="8">
        <v>180</v>
      </c>
      <c r="L52" s="9"/>
    </row>
    <row r="53" spans="2:12" x14ac:dyDescent="0.2">
      <c r="B53" s="80" t="s">
        <v>48</v>
      </c>
      <c r="C53" s="197">
        <v>200</v>
      </c>
      <c r="F53" s="8">
        <v>200</v>
      </c>
      <c r="L53" s="9"/>
    </row>
    <row r="54" spans="2:12" x14ac:dyDescent="0.2">
      <c r="B54" s="80" t="s">
        <v>48</v>
      </c>
      <c r="C54" s="291">
        <v>225</v>
      </c>
      <c r="F54" s="8">
        <v>225</v>
      </c>
      <c r="L54" s="9"/>
    </row>
    <row r="55" spans="2:12" x14ac:dyDescent="0.2">
      <c r="B55" s="80" t="s">
        <v>48</v>
      </c>
      <c r="C55" s="291">
        <v>250</v>
      </c>
      <c r="F55" s="8">
        <v>250</v>
      </c>
      <c r="L55" s="9"/>
    </row>
    <row r="56" spans="2:12" x14ac:dyDescent="0.2">
      <c r="B56" s="80" t="s">
        <v>48</v>
      </c>
      <c r="C56" s="291">
        <v>280</v>
      </c>
      <c r="F56" s="8">
        <v>280</v>
      </c>
      <c r="L56" s="9"/>
    </row>
    <row r="57" spans="2:12" x14ac:dyDescent="0.2">
      <c r="B57" s="80" t="s">
        <v>48</v>
      </c>
      <c r="C57" s="291">
        <v>315</v>
      </c>
      <c r="F57" s="8">
        <v>315</v>
      </c>
      <c r="L57" s="9"/>
    </row>
    <row r="58" spans="2:12" x14ac:dyDescent="0.2">
      <c r="B58" s="80" t="s">
        <v>48</v>
      </c>
      <c r="C58" s="291">
        <v>355</v>
      </c>
      <c r="F58" s="8">
        <v>355</v>
      </c>
      <c r="L58" s="9"/>
    </row>
    <row r="59" spans="2:12" x14ac:dyDescent="0.2">
      <c r="B59" s="80" t="s">
        <v>48</v>
      </c>
      <c r="C59" s="291">
        <v>400</v>
      </c>
      <c r="F59" s="8">
        <v>400</v>
      </c>
      <c r="L59" s="9"/>
    </row>
    <row r="60" spans="2:12" x14ac:dyDescent="0.2">
      <c r="B60" s="80" t="s">
        <v>48</v>
      </c>
      <c r="C60" s="291">
        <v>450</v>
      </c>
      <c r="F60" s="8">
        <v>450</v>
      </c>
      <c r="L60" s="9"/>
    </row>
    <row r="61" spans="2:12" x14ac:dyDescent="0.2">
      <c r="B61" s="80" t="s">
        <v>48</v>
      </c>
      <c r="C61" s="291">
        <v>500</v>
      </c>
      <c r="F61" s="8">
        <v>500</v>
      </c>
      <c r="L61" s="9"/>
    </row>
    <row r="62" spans="2:12" x14ac:dyDescent="0.2">
      <c r="B62" s="80" t="s">
        <v>48</v>
      </c>
      <c r="C62" s="291">
        <v>560</v>
      </c>
      <c r="F62" s="8">
        <v>560</v>
      </c>
      <c r="L62" s="9"/>
    </row>
    <row r="63" spans="2:12" x14ac:dyDescent="0.2">
      <c r="B63" s="81" t="s">
        <v>48</v>
      </c>
      <c r="C63" s="292">
        <v>630</v>
      </c>
      <c r="F63" s="8">
        <v>630</v>
      </c>
      <c r="L63" s="9"/>
    </row>
    <row r="64" spans="2:12" x14ac:dyDescent="0.2">
      <c r="B64" s="184" t="s">
        <v>231</v>
      </c>
      <c r="C64" s="196">
        <v>110</v>
      </c>
      <c r="F64" s="8"/>
      <c r="L64" s="9"/>
    </row>
    <row r="65" spans="2:12" x14ac:dyDescent="0.2">
      <c r="B65" s="80" t="s">
        <v>231</v>
      </c>
      <c r="C65" s="197">
        <v>125</v>
      </c>
      <c r="F65" s="10"/>
      <c r="G65" s="7"/>
      <c r="H65" s="7"/>
      <c r="I65" s="7"/>
      <c r="J65" s="7"/>
      <c r="K65" s="7"/>
      <c r="L65" s="11"/>
    </row>
    <row r="66" spans="2:12" x14ac:dyDescent="0.2">
      <c r="B66" s="80" t="s">
        <v>231</v>
      </c>
      <c r="C66" s="198">
        <v>160</v>
      </c>
    </row>
    <row r="67" spans="2:12" x14ac:dyDescent="0.2">
      <c r="B67" s="80" t="s">
        <v>231</v>
      </c>
      <c r="C67" s="197">
        <v>200</v>
      </c>
    </row>
    <row r="68" spans="2:12" x14ac:dyDescent="0.2">
      <c r="B68" s="80" t="s">
        <v>231</v>
      </c>
      <c r="C68" s="198">
        <v>250</v>
      </c>
    </row>
    <row r="69" spans="2:12" x14ac:dyDescent="0.2">
      <c r="B69" s="80" t="s">
        <v>231</v>
      </c>
      <c r="C69" s="197">
        <v>315</v>
      </c>
    </row>
    <row r="70" spans="2:12" x14ac:dyDescent="0.2">
      <c r="B70" s="80" t="s">
        <v>231</v>
      </c>
      <c r="C70" s="291">
        <v>400</v>
      </c>
    </row>
    <row r="71" spans="2:12" x14ac:dyDescent="0.2">
      <c r="B71" s="80" t="s">
        <v>231</v>
      </c>
      <c r="C71" s="291">
        <v>500</v>
      </c>
    </row>
    <row r="72" spans="2:12" x14ac:dyDescent="0.2">
      <c r="B72" s="81" t="s">
        <v>231</v>
      </c>
      <c r="C72" s="292">
        <v>630</v>
      </c>
    </row>
    <row r="73" spans="2:12" x14ac:dyDescent="0.2">
      <c r="B73" s="184" t="s">
        <v>51</v>
      </c>
      <c r="C73" s="196">
        <v>110</v>
      </c>
    </row>
    <row r="74" spans="2:12" x14ac:dyDescent="0.2">
      <c r="B74" s="80" t="s">
        <v>51</v>
      </c>
      <c r="C74" s="198">
        <v>125</v>
      </c>
    </row>
    <row r="75" spans="2:12" x14ac:dyDescent="0.2">
      <c r="B75" s="80" t="s">
        <v>51</v>
      </c>
      <c r="C75" s="197">
        <v>160</v>
      </c>
    </row>
    <row r="76" spans="2:12" x14ac:dyDescent="0.2">
      <c r="B76" s="80" t="s">
        <v>51</v>
      </c>
      <c r="C76" s="197">
        <v>225</v>
      </c>
    </row>
    <row r="77" spans="2:12" x14ac:dyDescent="0.2">
      <c r="B77" s="80" t="s">
        <v>51</v>
      </c>
      <c r="C77" s="197">
        <v>250</v>
      </c>
    </row>
    <row r="78" spans="2:12" x14ac:dyDescent="0.2">
      <c r="B78" s="80" t="s">
        <v>51</v>
      </c>
      <c r="C78" s="198">
        <v>315</v>
      </c>
    </row>
    <row r="79" spans="2:12" x14ac:dyDescent="0.2">
      <c r="B79" s="81" t="s">
        <v>51</v>
      </c>
      <c r="C79" s="296">
        <v>400</v>
      </c>
    </row>
    <row r="80" spans="2:12" x14ac:dyDescent="0.2">
      <c r="B80" s="184" t="s">
        <v>43</v>
      </c>
      <c r="C80" s="196">
        <v>300</v>
      </c>
    </row>
    <row r="81" spans="2:3" x14ac:dyDescent="0.2">
      <c r="B81" s="80" t="s">
        <v>43</v>
      </c>
      <c r="C81" s="197">
        <v>400</v>
      </c>
    </row>
    <row r="82" spans="2:3" x14ac:dyDescent="0.2">
      <c r="B82" s="80" t="s">
        <v>43</v>
      </c>
      <c r="C82" s="198">
        <v>500</v>
      </c>
    </row>
    <row r="83" spans="2:3" x14ac:dyDescent="0.2">
      <c r="B83" s="80" t="s">
        <v>43</v>
      </c>
      <c r="C83" s="197">
        <v>600</v>
      </c>
    </row>
    <row r="84" spans="2:3" x14ac:dyDescent="0.2">
      <c r="B84" s="80" t="s">
        <v>43</v>
      </c>
      <c r="C84" s="198">
        <v>800</v>
      </c>
    </row>
    <row r="85" spans="2:3" x14ac:dyDescent="0.2">
      <c r="B85" s="81" t="s">
        <v>43</v>
      </c>
      <c r="C85" s="296">
        <v>1000</v>
      </c>
    </row>
    <row r="86" spans="2:3" x14ac:dyDescent="0.2">
      <c r="B86" s="184" t="s">
        <v>234</v>
      </c>
      <c r="C86" s="196">
        <v>300</v>
      </c>
    </row>
    <row r="87" spans="2:3" x14ac:dyDescent="0.2">
      <c r="B87" s="80" t="s">
        <v>234</v>
      </c>
      <c r="C87" s="197">
        <v>400</v>
      </c>
    </row>
    <row r="88" spans="2:3" x14ac:dyDescent="0.2">
      <c r="B88" s="80" t="s">
        <v>234</v>
      </c>
      <c r="C88" s="198">
        <v>500</v>
      </c>
    </row>
    <row r="89" spans="2:3" x14ac:dyDescent="0.2">
      <c r="B89" s="80" t="s">
        <v>234</v>
      </c>
      <c r="C89" s="197">
        <v>600</v>
      </c>
    </row>
    <row r="90" spans="2:3" x14ac:dyDescent="0.2">
      <c r="B90" s="80" t="s">
        <v>234</v>
      </c>
      <c r="C90" s="198">
        <v>800</v>
      </c>
    </row>
    <row r="91" spans="2:3" x14ac:dyDescent="0.2">
      <c r="B91" s="81" t="s">
        <v>234</v>
      </c>
      <c r="C91" s="296">
        <v>1000</v>
      </c>
    </row>
    <row r="92" spans="2:3" x14ac:dyDescent="0.2">
      <c r="B92" s="184" t="s">
        <v>235</v>
      </c>
      <c r="C92" s="196">
        <v>100</v>
      </c>
    </row>
    <row r="93" spans="2:3" x14ac:dyDescent="0.2">
      <c r="B93" s="80" t="s">
        <v>235</v>
      </c>
      <c r="C93" s="197">
        <v>150</v>
      </c>
    </row>
    <row r="94" spans="2:3" x14ac:dyDescent="0.2">
      <c r="B94" s="80" t="s">
        <v>235</v>
      </c>
      <c r="C94" s="198">
        <v>200</v>
      </c>
    </row>
    <row r="95" spans="2:3" x14ac:dyDescent="0.2">
      <c r="B95" s="80" t="s">
        <v>235</v>
      </c>
      <c r="C95" s="197">
        <v>250</v>
      </c>
    </row>
    <row r="96" spans="2:3" x14ac:dyDescent="0.2">
      <c r="B96" s="80" t="s">
        <v>235</v>
      </c>
      <c r="C96" s="198">
        <v>300</v>
      </c>
    </row>
    <row r="97" spans="2:3" x14ac:dyDescent="0.2">
      <c r="B97" s="80" t="s">
        <v>235</v>
      </c>
      <c r="C97" s="197">
        <v>400</v>
      </c>
    </row>
    <row r="98" spans="2:3" x14ac:dyDescent="0.2">
      <c r="B98" s="81" t="s">
        <v>235</v>
      </c>
      <c r="C98" s="292">
        <v>600</v>
      </c>
    </row>
    <row r="99" spans="2:3" x14ac:dyDescent="0.2">
      <c r="B99" s="184" t="s">
        <v>46</v>
      </c>
      <c r="C99" s="196">
        <v>100</v>
      </c>
    </row>
    <row r="100" spans="2:3" x14ac:dyDescent="0.2">
      <c r="B100" s="80" t="s">
        <v>46</v>
      </c>
      <c r="C100" s="197">
        <v>150</v>
      </c>
    </row>
    <row r="101" spans="2:3" x14ac:dyDescent="0.2">
      <c r="B101" s="80" t="s">
        <v>46</v>
      </c>
      <c r="C101" s="198">
        <v>200</v>
      </c>
    </row>
    <row r="102" spans="2:3" x14ac:dyDescent="0.2">
      <c r="B102" s="80" t="s">
        <v>46</v>
      </c>
      <c r="C102" s="197">
        <v>250</v>
      </c>
    </row>
    <row r="103" spans="2:3" x14ac:dyDescent="0.2">
      <c r="B103" s="80" t="s">
        <v>46</v>
      </c>
      <c r="C103" s="198">
        <v>300</v>
      </c>
    </row>
    <row r="104" spans="2:3" x14ac:dyDescent="0.2">
      <c r="B104" s="80" t="s">
        <v>46</v>
      </c>
      <c r="C104" s="197">
        <v>400</v>
      </c>
    </row>
    <row r="105" spans="2:3" x14ac:dyDescent="0.2">
      <c r="B105" s="184" t="s">
        <v>250</v>
      </c>
      <c r="C105" s="210">
        <v>400</v>
      </c>
    </row>
    <row r="106" spans="2:3" x14ac:dyDescent="0.2">
      <c r="B106" s="80" t="s">
        <v>250</v>
      </c>
      <c r="C106" s="199">
        <v>500</v>
      </c>
    </row>
    <row r="107" spans="2:3" x14ac:dyDescent="0.2">
      <c r="B107" s="80" t="s">
        <v>250</v>
      </c>
      <c r="C107" s="199">
        <v>600</v>
      </c>
    </row>
    <row r="108" spans="2:3" x14ac:dyDescent="0.2">
      <c r="B108" s="80" t="s">
        <v>250</v>
      </c>
      <c r="C108" s="199">
        <v>700</v>
      </c>
    </row>
    <row r="109" spans="2:3" x14ac:dyDescent="0.2">
      <c r="B109" s="80" t="s">
        <v>250</v>
      </c>
      <c r="C109" s="199">
        <v>800</v>
      </c>
    </row>
    <row r="110" spans="2:3" x14ac:dyDescent="0.2">
      <c r="B110" s="80" t="s">
        <v>250</v>
      </c>
      <c r="C110" s="199">
        <v>900</v>
      </c>
    </row>
    <row r="111" spans="2:3" x14ac:dyDescent="0.2">
      <c r="B111" s="80" t="s">
        <v>250</v>
      </c>
      <c r="C111" s="199">
        <v>1000</v>
      </c>
    </row>
    <row r="112" spans="2:3" x14ac:dyDescent="0.2">
      <c r="B112" s="80" t="s">
        <v>250</v>
      </c>
      <c r="C112" s="199">
        <v>1100</v>
      </c>
    </row>
    <row r="113" spans="2:3" x14ac:dyDescent="0.2">
      <c r="B113" s="81" t="s">
        <v>250</v>
      </c>
      <c r="C113" s="200">
        <v>1200</v>
      </c>
    </row>
  </sheetData>
  <sheetProtection algorithmName="SHA-512" hashValue="0ehoWkSERPxgr/zkbtitbfO2xJsU1Exn2w8zGD4DSbSl2FWMFPV/XR+8jvqAxna9MZrAzmawSGX254X8+Pp+Zw==" saltValue="J8o44QmxEL7M9DDGDFrM5g==" spinCount="100000" sheet="1" objects="1" scenarios="1" selectLockedCells="1"/>
  <mergeCells count="1">
    <mergeCell ref="F45:L45"/>
  </mergeCells>
  <phoneticPr fontId="15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AFF0B2-1452-4AD0-A35F-101F4E0CE882}">
  <dimension ref="B3:D27"/>
  <sheetViews>
    <sheetView workbookViewId="0">
      <selection activeCell="B29" sqref="B29"/>
    </sheetView>
  </sheetViews>
  <sheetFormatPr defaultColWidth="9.14453125" defaultRowHeight="15" x14ac:dyDescent="0.2"/>
  <cols>
    <col min="1" max="1" width="9.14453125" style="1"/>
    <col min="2" max="2" width="15.33203125" style="1" customWidth="1"/>
    <col min="3" max="3" width="19.234375" style="1" customWidth="1"/>
    <col min="4" max="4" width="91.4765625" style="1" customWidth="1"/>
    <col min="5" max="16384" width="9.14453125" style="1"/>
  </cols>
  <sheetData>
    <row r="3" spans="2:4" x14ac:dyDescent="0.2">
      <c r="B3" s="2" t="s">
        <v>2</v>
      </c>
    </row>
    <row r="4" spans="2:4" ht="16.5" x14ac:dyDescent="0.25">
      <c r="B4" s="203"/>
      <c r="C4" s="142" t="s">
        <v>3</v>
      </c>
      <c r="D4" s="202"/>
    </row>
    <row r="5" spans="2:4" ht="16.5" x14ac:dyDescent="0.25">
      <c r="B5" s="204"/>
      <c r="C5" s="205" t="s">
        <v>4</v>
      </c>
    </row>
    <row r="8" spans="2:4" ht="55.5" customHeight="1" x14ac:dyDescent="0.2">
      <c r="B8" s="310" t="s">
        <v>5</v>
      </c>
      <c r="C8" s="310"/>
      <c r="D8" s="310"/>
    </row>
    <row r="9" spans="2:4" x14ac:dyDescent="0.2">
      <c r="B9" s="1" t="s">
        <v>6</v>
      </c>
    </row>
    <row r="11" spans="2:4" ht="45" customHeight="1" x14ac:dyDescent="0.2">
      <c r="B11" s="310" t="s">
        <v>281</v>
      </c>
      <c r="C11" s="310"/>
      <c r="D11" s="310"/>
    </row>
    <row r="13" spans="2:4" x14ac:dyDescent="0.2">
      <c r="B13" s="2" t="s">
        <v>7</v>
      </c>
    </row>
    <row r="15" spans="2:4" ht="30.75" customHeight="1" x14ac:dyDescent="0.2">
      <c r="B15" s="273" t="s">
        <v>8</v>
      </c>
      <c r="C15" s="310" t="s">
        <v>9</v>
      </c>
      <c r="D15" s="310"/>
    </row>
    <row r="16" spans="2:4" x14ac:dyDescent="0.2">
      <c r="C16" s="1" t="s">
        <v>10</v>
      </c>
    </row>
    <row r="17" spans="2:4" x14ac:dyDescent="0.2">
      <c r="C17" s="5" t="s">
        <v>11</v>
      </c>
    </row>
    <row r="18" spans="2:4" ht="16.5" x14ac:dyDescent="0.25">
      <c r="C18" s="142"/>
    </row>
    <row r="19" spans="2:4" ht="41.25" x14ac:dyDescent="0.2">
      <c r="B19" s="272" t="s">
        <v>12</v>
      </c>
      <c r="C19" s="273" t="s">
        <v>13</v>
      </c>
    </row>
    <row r="20" spans="2:4" x14ac:dyDescent="0.2">
      <c r="B20" s="272"/>
    </row>
    <row r="21" spans="2:4" x14ac:dyDescent="0.2">
      <c r="B21" s="1" t="s">
        <v>14</v>
      </c>
      <c r="C21" s="1" t="s">
        <v>15</v>
      </c>
    </row>
    <row r="22" spans="2:4" x14ac:dyDescent="0.2">
      <c r="C22" s="1" t="s">
        <v>16</v>
      </c>
    </row>
    <row r="23" spans="2:4" x14ac:dyDescent="0.2">
      <c r="C23" s="1" t="s">
        <v>17</v>
      </c>
    </row>
    <row r="24" spans="2:4" x14ac:dyDescent="0.2">
      <c r="C24" s="1" t="s">
        <v>18</v>
      </c>
    </row>
    <row r="26" spans="2:4" ht="27.75" x14ac:dyDescent="0.2">
      <c r="B26" s="272" t="s">
        <v>19</v>
      </c>
      <c r="C26" s="310" t="s">
        <v>20</v>
      </c>
      <c r="D26" s="310"/>
    </row>
    <row r="27" spans="2:4" x14ac:dyDescent="0.2">
      <c r="B27" s="272"/>
    </row>
  </sheetData>
  <sheetProtection algorithmName="SHA-512" hashValue="HW/sfMcUBHynwzD1Z4yihRuzIMgoxJWAeyAQJoeSDsG9xP/1YVUmlR0rxLyuVzHvJ12lVo+Yh6pkyu8nPjwUXQ==" saltValue="9RDcOjGEg59uOifM6d4WMQ==" spinCount="100000" sheet="1" objects="1" scenarios="1"/>
  <mergeCells count="4">
    <mergeCell ref="B8:D8"/>
    <mergeCell ref="C15:D15"/>
    <mergeCell ref="B11:D11"/>
    <mergeCell ref="C26:D26"/>
  </mergeCells>
  <hyperlinks>
    <hyperlink ref="C17" r:id="rId1" location=":~:text=Offentlige%20anskaffelser%20av%20transportl%C3%B8sninger%20b%C3%B8r%20prioritere%20nullutslipp%20og,N%C3%A5%20kommer%20nye%20innkj%C3%B8psr%C3%A5d%20for%20tungtransport%20og%20busser." display="https://anskaffelser.no/nyhetsarkiv/nullutslipp-bor-prioriteres-i-offentlige-anskaffelser - :~:text=Offentlige%20anskaffelser%20av%20transportl%C3%B8sninger%20b%C3%B8r%20prioritere%20nullutslipp%20og,N%C3%A5%20kommer%20nye%20innkj%C3%B8psr%C3%A5d%20for%20tungtransport%20og%20busser." xr:uid="{456C2439-2052-47E8-93E7-BB4041AE4CAE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7611F8-E7F7-4BB6-A4CD-26D69A1E9ADA}">
  <dimension ref="A1:K78"/>
  <sheetViews>
    <sheetView tabSelected="1" zoomScaleNormal="100" workbookViewId="0">
      <selection activeCell="G26" sqref="G26"/>
    </sheetView>
  </sheetViews>
  <sheetFormatPr defaultColWidth="8.875" defaultRowHeight="16.5" x14ac:dyDescent="0.25"/>
  <cols>
    <col min="1" max="1" width="38.203125" style="18" customWidth="1"/>
    <col min="2" max="2" width="14.52734375" style="18" customWidth="1"/>
    <col min="3" max="3" width="19.7734375" style="18" customWidth="1"/>
    <col min="4" max="4" width="4.70703125" style="18" customWidth="1"/>
    <col min="5" max="5" width="19.7734375" style="18" customWidth="1"/>
    <col min="6" max="6" width="4.70703125" style="18" customWidth="1"/>
    <col min="7" max="7" width="29.59375" style="18" customWidth="1"/>
    <col min="8" max="8" width="8.609375" style="18" customWidth="1"/>
    <col min="9" max="9" width="24.34765625" style="18" customWidth="1"/>
    <col min="10" max="10" width="41.4296875" style="18" customWidth="1"/>
    <col min="11" max="11" width="8.875" style="18"/>
    <col min="12" max="13" width="8.875" style="18" customWidth="1"/>
    <col min="14" max="16" width="8.875" style="18"/>
    <col min="17" max="17" width="8.875" style="18" customWidth="1"/>
    <col min="18" max="18" width="8.875" style="18"/>
    <col min="19" max="19" width="8.875" style="18" customWidth="1"/>
    <col min="20" max="16384" width="8.875" style="18"/>
  </cols>
  <sheetData>
    <row r="1" spans="1:10" x14ac:dyDescent="0.25">
      <c r="A1" s="17" t="s">
        <v>21</v>
      </c>
    </row>
    <row r="3" spans="1:10" x14ac:dyDescent="0.25">
      <c r="A3" s="313" t="s">
        <v>22</v>
      </c>
      <c r="B3" s="314"/>
      <c r="C3" s="135" t="s">
        <v>23</v>
      </c>
    </row>
    <row r="5" spans="1:10" x14ac:dyDescent="0.25">
      <c r="A5" s="136"/>
      <c r="B5" s="90"/>
      <c r="C5" s="90"/>
      <c r="D5" s="137"/>
      <c r="F5" s="145"/>
      <c r="G5" s="90"/>
      <c r="H5" s="90"/>
      <c r="I5" s="90"/>
      <c r="J5" s="137"/>
    </row>
    <row r="6" spans="1:10" x14ac:dyDescent="0.25">
      <c r="A6" s="138" t="s">
        <v>24</v>
      </c>
      <c r="D6" s="139"/>
      <c r="F6" s="138" t="s">
        <v>25</v>
      </c>
      <c r="J6" s="139"/>
    </row>
    <row r="7" spans="1:10" x14ac:dyDescent="0.25">
      <c r="A7" s="32"/>
      <c r="D7" s="139"/>
      <c r="F7" s="32"/>
      <c r="J7" s="139"/>
    </row>
    <row r="8" spans="1:10" x14ac:dyDescent="0.25">
      <c r="A8" s="32" t="s">
        <v>26</v>
      </c>
      <c r="B8" s="18" t="s">
        <v>27</v>
      </c>
      <c r="C8" s="274">
        <v>0</v>
      </c>
      <c r="D8" s="275"/>
      <c r="E8" s="276"/>
      <c r="F8" s="317" t="s">
        <v>28</v>
      </c>
      <c r="G8" s="318"/>
      <c r="H8" s="319"/>
      <c r="I8" s="274" t="s">
        <v>282</v>
      </c>
      <c r="J8" s="216" t="s">
        <v>29</v>
      </c>
    </row>
    <row r="9" spans="1:10" x14ac:dyDescent="0.25">
      <c r="A9" s="32" t="s">
        <v>30</v>
      </c>
      <c r="B9" s="18" t="s">
        <v>31</v>
      </c>
      <c r="C9" s="274">
        <v>0</v>
      </c>
      <c r="D9" s="275"/>
      <c r="E9" s="276"/>
      <c r="F9" s="279"/>
      <c r="G9" s="276"/>
      <c r="H9" s="276"/>
      <c r="I9" s="276"/>
      <c r="J9" s="139"/>
    </row>
    <row r="10" spans="1:10" x14ac:dyDescent="0.25">
      <c r="A10" s="32" t="s">
        <v>32</v>
      </c>
      <c r="B10" s="18" t="s">
        <v>31</v>
      </c>
      <c r="C10" s="274">
        <v>0</v>
      </c>
      <c r="D10" s="275"/>
      <c r="E10" s="276"/>
      <c r="F10" s="277" t="s">
        <v>33</v>
      </c>
      <c r="G10" s="278"/>
      <c r="H10" s="278"/>
      <c r="I10" s="278"/>
      <c r="J10" s="216"/>
    </row>
    <row r="11" spans="1:10" x14ac:dyDescent="0.25">
      <c r="A11" s="32" t="s">
        <v>34</v>
      </c>
      <c r="B11" s="18" t="s">
        <v>31</v>
      </c>
      <c r="C11" s="280">
        <v>0</v>
      </c>
      <c r="D11" s="275"/>
      <c r="E11" s="276"/>
      <c r="F11" s="279"/>
      <c r="G11" s="276"/>
      <c r="H11" s="276"/>
      <c r="I11" s="276"/>
      <c r="J11" s="139"/>
    </row>
    <row r="12" spans="1:10" x14ac:dyDescent="0.25">
      <c r="A12" s="21"/>
      <c r="B12" s="60"/>
      <c r="C12" s="281"/>
      <c r="D12" s="282"/>
      <c r="E12" s="276"/>
      <c r="F12" s="283"/>
      <c r="G12" s="281"/>
      <c r="H12" s="281"/>
      <c r="I12" s="281"/>
      <c r="J12" s="140"/>
    </row>
    <row r="13" spans="1:10" x14ac:dyDescent="0.25">
      <c r="C13" s="276"/>
      <c r="D13" s="276"/>
      <c r="E13" s="276"/>
      <c r="F13" s="276"/>
      <c r="G13" s="276"/>
      <c r="H13" s="276"/>
      <c r="I13" s="276"/>
    </row>
    <row r="14" spans="1:10" x14ac:dyDescent="0.25">
      <c r="A14" s="136"/>
      <c r="B14" s="90"/>
      <c r="C14" s="284"/>
      <c r="D14" s="285"/>
      <c r="E14" s="276"/>
      <c r="F14" s="276"/>
      <c r="G14" s="276"/>
      <c r="H14" s="276"/>
      <c r="I14" s="276"/>
    </row>
    <row r="15" spans="1:10" x14ac:dyDescent="0.25">
      <c r="A15" s="138" t="s">
        <v>35</v>
      </c>
      <c r="C15" s="276"/>
      <c r="D15" s="275"/>
      <c r="E15" s="276"/>
      <c r="F15" s="276"/>
      <c r="G15" s="276"/>
      <c r="H15" s="276"/>
      <c r="I15" s="276"/>
    </row>
    <row r="16" spans="1:10" x14ac:dyDescent="0.25">
      <c r="A16" s="32"/>
      <c r="C16" s="276"/>
      <c r="D16" s="275"/>
      <c r="E16" s="276"/>
      <c r="F16" s="276"/>
      <c r="G16" s="276"/>
      <c r="H16" s="276"/>
      <c r="I16" s="276"/>
    </row>
    <row r="17" spans="1:10" x14ac:dyDescent="0.25">
      <c r="A17" s="32" t="s">
        <v>26</v>
      </c>
      <c r="B17" s="18" t="s">
        <v>27</v>
      </c>
      <c r="C17" s="274">
        <v>200</v>
      </c>
      <c r="D17" s="275"/>
      <c r="E17" s="276"/>
      <c r="F17" s="276"/>
      <c r="G17" s="276"/>
      <c r="H17" s="276"/>
      <c r="I17" s="276"/>
    </row>
    <row r="18" spans="1:10" x14ac:dyDescent="0.25">
      <c r="A18" s="32" t="s">
        <v>30</v>
      </c>
      <c r="B18" s="18" t="s">
        <v>31</v>
      </c>
      <c r="C18" s="274">
        <v>1</v>
      </c>
      <c r="D18" s="275"/>
      <c r="E18" s="276"/>
      <c r="F18" s="276"/>
      <c r="G18" s="276"/>
      <c r="H18" s="276"/>
      <c r="I18" s="276"/>
    </row>
    <row r="19" spans="1:10" x14ac:dyDescent="0.25">
      <c r="A19" s="32" t="s">
        <v>32</v>
      </c>
      <c r="B19" s="18" t="s">
        <v>31</v>
      </c>
      <c r="C19" s="274">
        <v>5</v>
      </c>
      <c r="D19" s="275"/>
      <c r="E19" s="276"/>
      <c r="F19" s="276"/>
      <c r="G19" s="276"/>
      <c r="H19" s="276"/>
      <c r="I19" s="276"/>
    </row>
    <row r="20" spans="1:10" x14ac:dyDescent="0.25">
      <c r="A20" s="32" t="s">
        <v>36</v>
      </c>
      <c r="B20" s="18" t="s">
        <v>37</v>
      </c>
      <c r="C20" s="286">
        <v>40</v>
      </c>
      <c r="D20" s="275"/>
      <c r="E20" s="276"/>
      <c r="F20" s="276"/>
      <c r="G20" s="276"/>
      <c r="H20" s="276"/>
      <c r="I20" s="276"/>
    </row>
    <row r="21" spans="1:10" x14ac:dyDescent="0.25">
      <c r="A21" s="21"/>
      <c r="B21" s="60"/>
      <c r="C21" s="281"/>
      <c r="D21" s="282"/>
      <c r="E21" s="276"/>
      <c r="F21" s="276"/>
      <c r="G21" s="276"/>
      <c r="H21" s="276"/>
      <c r="I21" s="276"/>
    </row>
    <row r="22" spans="1:10" x14ac:dyDescent="0.25">
      <c r="C22" s="276"/>
      <c r="D22" s="276"/>
      <c r="E22" s="276"/>
      <c r="F22" s="276"/>
      <c r="G22" s="276"/>
      <c r="H22" s="276"/>
      <c r="I22" s="276"/>
    </row>
    <row r="23" spans="1:10" x14ac:dyDescent="0.25">
      <c r="A23" s="136"/>
      <c r="B23" s="90"/>
      <c r="C23" s="284"/>
      <c r="D23" s="284"/>
      <c r="E23" s="284"/>
      <c r="F23" s="284"/>
      <c r="G23" s="284"/>
      <c r="H23" s="285"/>
      <c r="I23" s="276"/>
    </row>
    <row r="24" spans="1:10" x14ac:dyDescent="0.25">
      <c r="A24" s="138" t="s">
        <v>38</v>
      </c>
      <c r="C24" s="276"/>
      <c r="D24" s="276"/>
      <c r="E24" s="276"/>
      <c r="F24" s="276"/>
      <c r="G24" s="276"/>
      <c r="H24" s="275"/>
      <c r="I24" s="276"/>
    </row>
    <row r="25" spans="1:10" x14ac:dyDescent="0.25">
      <c r="A25" s="32"/>
      <c r="C25" s="276" t="s">
        <v>39</v>
      </c>
      <c r="D25" s="276"/>
      <c r="E25" s="276" t="s">
        <v>40</v>
      </c>
      <c r="F25" s="276"/>
      <c r="G25" s="276" t="s">
        <v>41</v>
      </c>
      <c r="H25" s="275"/>
      <c r="I25" s="276"/>
    </row>
    <row r="26" spans="1:10" x14ac:dyDescent="0.25">
      <c r="A26" s="315" t="s">
        <v>42</v>
      </c>
      <c r="B26" s="316"/>
      <c r="C26" s="143" t="s">
        <v>48</v>
      </c>
      <c r="D26" s="276"/>
      <c r="E26" s="144">
        <v>180</v>
      </c>
      <c r="F26" s="276"/>
      <c r="G26" s="286">
        <v>10</v>
      </c>
      <c r="H26" s="275"/>
      <c r="I26" s="278"/>
      <c r="J26" s="142" t="s">
        <v>44</v>
      </c>
    </row>
    <row r="27" spans="1:10" x14ac:dyDescent="0.25">
      <c r="A27" s="315" t="s">
        <v>45</v>
      </c>
      <c r="B27" s="316"/>
      <c r="C27" s="143" t="s">
        <v>273</v>
      </c>
      <c r="D27" s="276"/>
      <c r="E27" s="144" t="s">
        <v>280</v>
      </c>
      <c r="F27" s="276"/>
      <c r="G27" s="286"/>
      <c r="H27" s="275"/>
      <c r="I27" s="276"/>
    </row>
    <row r="28" spans="1:10" x14ac:dyDescent="0.25">
      <c r="A28" s="315" t="s">
        <v>47</v>
      </c>
      <c r="B28" s="316"/>
      <c r="C28" s="143" t="s">
        <v>273</v>
      </c>
      <c r="D28" s="276"/>
      <c r="E28" s="144" t="s">
        <v>280</v>
      </c>
      <c r="F28" s="276"/>
      <c r="G28" s="286"/>
      <c r="H28" s="275"/>
      <c r="I28" s="276"/>
    </row>
    <row r="29" spans="1:10" x14ac:dyDescent="0.25">
      <c r="A29" s="141" t="s">
        <v>49</v>
      </c>
      <c r="B29" s="142"/>
      <c r="C29" s="143" t="s">
        <v>273</v>
      </c>
      <c r="D29" s="276"/>
      <c r="E29" s="144" t="s">
        <v>280</v>
      </c>
      <c r="F29" s="276"/>
      <c r="G29" s="286"/>
      <c r="H29" s="275"/>
      <c r="I29" s="276"/>
    </row>
    <row r="30" spans="1:10" x14ac:dyDescent="0.25">
      <c r="A30" s="141" t="s">
        <v>50</v>
      </c>
      <c r="B30" s="142"/>
      <c r="C30" s="143" t="s">
        <v>273</v>
      </c>
      <c r="D30" s="276"/>
      <c r="E30" s="144" t="s">
        <v>280</v>
      </c>
      <c r="F30" s="276"/>
      <c r="G30" s="286"/>
      <c r="H30" s="275"/>
      <c r="I30" s="276"/>
    </row>
    <row r="31" spans="1:10" x14ac:dyDescent="0.25">
      <c r="A31" s="141" t="s">
        <v>52</v>
      </c>
      <c r="B31" s="142"/>
      <c r="C31" s="143" t="s">
        <v>273</v>
      </c>
      <c r="D31" s="276"/>
      <c r="E31" s="144" t="s">
        <v>280</v>
      </c>
      <c r="F31" s="276"/>
      <c r="G31" s="286"/>
      <c r="H31" s="275"/>
      <c r="I31" s="276"/>
    </row>
    <row r="32" spans="1:10" x14ac:dyDescent="0.25">
      <c r="A32" s="141" t="s">
        <v>53</v>
      </c>
      <c r="B32" s="142"/>
      <c r="C32" s="143" t="s">
        <v>273</v>
      </c>
      <c r="D32" s="276"/>
      <c r="E32" s="144" t="s">
        <v>280</v>
      </c>
      <c r="F32" s="276"/>
      <c r="G32" s="286"/>
      <c r="H32" s="275"/>
      <c r="I32" s="276"/>
    </row>
    <row r="33" spans="1:9" x14ac:dyDescent="0.25">
      <c r="A33" s="21"/>
      <c r="B33" s="60"/>
      <c r="C33" s="281"/>
      <c r="D33" s="281"/>
      <c r="E33" s="281"/>
      <c r="F33" s="281"/>
      <c r="G33" s="281"/>
      <c r="H33" s="282"/>
      <c r="I33" s="276"/>
    </row>
    <row r="34" spans="1:9" x14ac:dyDescent="0.25">
      <c r="A34" s="32"/>
      <c r="C34" s="276"/>
      <c r="D34" s="276"/>
      <c r="E34" s="276"/>
      <c r="F34" s="276"/>
      <c r="G34" s="276"/>
      <c r="H34" s="276"/>
      <c r="I34" s="276"/>
    </row>
    <row r="35" spans="1:9" x14ac:dyDescent="0.25">
      <c r="A35" s="145"/>
      <c r="B35" s="90"/>
      <c r="C35" s="284"/>
      <c r="D35" s="284"/>
      <c r="E35" s="284"/>
      <c r="F35" s="285"/>
      <c r="G35" s="276"/>
      <c r="H35" s="276"/>
      <c r="I35" s="276"/>
    </row>
    <row r="36" spans="1:9" x14ac:dyDescent="0.25">
      <c r="A36" s="138" t="s">
        <v>54</v>
      </c>
      <c r="C36" s="276"/>
      <c r="D36" s="276"/>
      <c r="E36" s="276"/>
      <c r="F36" s="275"/>
      <c r="G36" s="276"/>
      <c r="H36" s="276"/>
      <c r="I36" s="276"/>
    </row>
    <row r="37" spans="1:9" x14ac:dyDescent="0.25">
      <c r="A37" s="32"/>
      <c r="C37" s="276" t="s">
        <v>39</v>
      </c>
      <c r="D37" s="276"/>
      <c r="E37" s="276" t="s">
        <v>55</v>
      </c>
      <c r="F37" s="275"/>
      <c r="G37" s="276"/>
      <c r="H37" s="276"/>
      <c r="I37" s="276"/>
    </row>
    <row r="38" spans="1:9" x14ac:dyDescent="0.25">
      <c r="A38" s="32" t="s">
        <v>56</v>
      </c>
      <c r="C38" s="274" t="s">
        <v>57</v>
      </c>
      <c r="D38" s="276"/>
      <c r="E38" s="286">
        <v>2</v>
      </c>
      <c r="F38" s="275"/>
      <c r="G38" s="276"/>
      <c r="H38" s="276"/>
      <c r="I38" s="276"/>
    </row>
    <row r="39" spans="1:9" x14ac:dyDescent="0.25">
      <c r="A39" s="32" t="s">
        <v>58</v>
      </c>
      <c r="C39" s="274" t="s">
        <v>43</v>
      </c>
      <c r="D39" s="276"/>
      <c r="E39" s="286">
        <v>2</v>
      </c>
      <c r="F39" s="275"/>
      <c r="G39" s="276"/>
      <c r="H39" s="276"/>
      <c r="I39" s="276"/>
    </row>
    <row r="40" spans="1:9" x14ac:dyDescent="0.25">
      <c r="A40" s="32" t="s">
        <v>59</v>
      </c>
      <c r="C40" s="274" t="s">
        <v>43</v>
      </c>
      <c r="D40" s="276"/>
      <c r="E40" s="286"/>
      <c r="F40" s="275"/>
      <c r="G40" s="276"/>
      <c r="H40" s="276"/>
      <c r="I40" s="276"/>
    </row>
    <row r="41" spans="1:9" x14ac:dyDescent="0.25">
      <c r="A41" s="21"/>
      <c r="B41" s="60"/>
      <c r="C41" s="281"/>
      <c r="D41" s="281"/>
      <c r="E41" s="281"/>
      <c r="F41" s="282"/>
      <c r="G41" s="276"/>
      <c r="H41" s="276"/>
      <c r="I41" s="276"/>
    </row>
    <row r="42" spans="1:9" x14ac:dyDescent="0.25">
      <c r="A42" s="32"/>
      <c r="C42" s="276"/>
      <c r="D42" s="276"/>
      <c r="E42" s="276"/>
      <c r="F42" s="276"/>
      <c r="G42" s="276"/>
      <c r="H42" s="276"/>
      <c r="I42" s="276"/>
    </row>
    <row r="43" spans="1:9" x14ac:dyDescent="0.25">
      <c r="A43" s="145"/>
      <c r="B43" s="90"/>
      <c r="C43" s="284"/>
      <c r="D43" s="285"/>
      <c r="E43" s="276"/>
      <c r="F43" s="276"/>
      <c r="G43" s="276"/>
      <c r="H43" s="276"/>
      <c r="I43" s="276"/>
    </row>
    <row r="44" spans="1:9" x14ac:dyDescent="0.25">
      <c r="A44" s="138" t="s">
        <v>60</v>
      </c>
      <c r="C44" s="276"/>
      <c r="D44" s="275"/>
      <c r="E44" s="276"/>
      <c r="F44" s="276"/>
      <c r="G44" s="276"/>
      <c r="H44" s="276"/>
      <c r="I44" s="276"/>
    </row>
    <row r="45" spans="1:9" x14ac:dyDescent="0.25">
      <c r="A45" s="32"/>
      <c r="C45" s="276"/>
      <c r="D45" s="275"/>
      <c r="E45" s="276"/>
      <c r="F45" s="276"/>
      <c r="G45" s="276"/>
      <c r="H45" s="276"/>
      <c r="I45" s="276"/>
    </row>
    <row r="46" spans="1:9" x14ac:dyDescent="0.25">
      <c r="A46" s="32" t="s">
        <v>61</v>
      </c>
      <c r="B46" s="18" t="s">
        <v>62</v>
      </c>
      <c r="C46" s="274">
        <v>0</v>
      </c>
      <c r="D46" s="275"/>
      <c r="E46" s="276"/>
      <c r="F46" s="276"/>
      <c r="G46" s="276"/>
      <c r="H46" s="276"/>
      <c r="I46" s="276"/>
    </row>
    <row r="47" spans="1:9" x14ac:dyDescent="0.25">
      <c r="A47" s="32" t="s">
        <v>63</v>
      </c>
      <c r="B47" s="18" t="s">
        <v>62</v>
      </c>
      <c r="C47" s="274">
        <v>1</v>
      </c>
      <c r="D47" s="275"/>
      <c r="E47" s="276"/>
      <c r="F47" s="276"/>
      <c r="G47" s="276"/>
      <c r="H47" s="276"/>
      <c r="I47" s="276"/>
    </row>
    <row r="48" spans="1:9" x14ac:dyDescent="0.25">
      <c r="A48" s="32" t="s">
        <v>64</v>
      </c>
      <c r="B48" s="18" t="s">
        <v>62</v>
      </c>
      <c r="C48" s="274">
        <v>1</v>
      </c>
      <c r="D48" s="275"/>
      <c r="E48" s="276"/>
      <c r="F48" s="276"/>
      <c r="G48" s="276"/>
      <c r="H48" s="276"/>
      <c r="I48" s="276"/>
    </row>
    <row r="49" spans="1:9" x14ac:dyDescent="0.25">
      <c r="A49" s="21"/>
      <c r="B49" s="60"/>
      <c r="C49" s="281"/>
      <c r="D49" s="282"/>
      <c r="E49" s="276"/>
      <c r="F49" s="276"/>
      <c r="G49" s="276"/>
      <c r="H49" s="276"/>
      <c r="I49" s="276"/>
    </row>
    <row r="50" spans="1:9" x14ac:dyDescent="0.25">
      <c r="C50" s="276"/>
      <c r="D50" s="276"/>
      <c r="E50" s="276"/>
      <c r="F50" s="276"/>
      <c r="G50" s="276"/>
      <c r="H50" s="276"/>
      <c r="I50" s="276"/>
    </row>
    <row r="51" spans="1:9" x14ac:dyDescent="0.25">
      <c r="A51" s="145"/>
      <c r="B51" s="90"/>
      <c r="C51" s="284"/>
      <c r="D51" s="284"/>
      <c r="E51" s="284"/>
      <c r="F51" s="284"/>
      <c r="G51" s="284"/>
      <c r="H51" s="285"/>
      <c r="I51" s="276"/>
    </row>
    <row r="52" spans="1:9" x14ac:dyDescent="0.25">
      <c r="A52" s="138" t="s">
        <v>65</v>
      </c>
      <c r="C52" s="276"/>
      <c r="D52" s="276"/>
      <c r="E52" s="276"/>
      <c r="F52" s="276"/>
      <c r="G52" s="276"/>
      <c r="H52" s="275"/>
      <c r="I52" s="276"/>
    </row>
    <row r="53" spans="1:9" x14ac:dyDescent="0.25">
      <c r="A53" s="32"/>
      <c r="C53" s="276" t="s">
        <v>39</v>
      </c>
      <c r="D53" s="276"/>
      <c r="E53" s="276" t="s">
        <v>66</v>
      </c>
      <c r="F53" s="276"/>
      <c r="G53" s="276" t="s">
        <v>67</v>
      </c>
      <c r="H53" s="275"/>
      <c r="I53" s="276"/>
    </row>
    <row r="54" spans="1:9" x14ac:dyDescent="0.25">
      <c r="A54" s="32" t="s">
        <v>68</v>
      </c>
      <c r="C54" s="274" t="s">
        <v>273</v>
      </c>
      <c r="D54" s="276"/>
      <c r="E54" s="286" t="s">
        <v>276</v>
      </c>
      <c r="F54" s="276"/>
      <c r="G54" s="286"/>
      <c r="H54" s="275"/>
      <c r="I54" s="276"/>
    </row>
    <row r="55" spans="1:9" x14ac:dyDescent="0.25">
      <c r="A55" s="32" t="s">
        <v>70</v>
      </c>
      <c r="C55" s="274" t="s">
        <v>273</v>
      </c>
      <c r="D55" s="276"/>
      <c r="E55" s="286" t="s">
        <v>276</v>
      </c>
      <c r="F55" s="276"/>
      <c r="G55" s="286"/>
      <c r="H55" s="275"/>
      <c r="I55" s="276"/>
    </row>
    <row r="56" spans="1:9" x14ac:dyDescent="0.25">
      <c r="A56" s="32" t="s">
        <v>72</v>
      </c>
      <c r="C56" s="274" t="s">
        <v>273</v>
      </c>
      <c r="D56" s="276"/>
      <c r="E56" s="286" t="s">
        <v>276</v>
      </c>
      <c r="F56" s="276"/>
      <c r="G56" s="286"/>
      <c r="H56" s="275"/>
      <c r="I56" s="276"/>
    </row>
    <row r="57" spans="1:9" x14ac:dyDescent="0.25">
      <c r="A57" s="21"/>
      <c r="B57" s="60"/>
      <c r="C57" s="281"/>
      <c r="D57" s="281"/>
      <c r="E57" s="281"/>
      <c r="F57" s="281"/>
      <c r="G57" s="281"/>
      <c r="H57" s="282"/>
      <c r="I57" s="276"/>
    </row>
    <row r="58" spans="1:9" x14ac:dyDescent="0.25">
      <c r="C58" s="276"/>
      <c r="D58" s="276"/>
      <c r="E58" s="276"/>
      <c r="F58" s="276"/>
      <c r="G58" s="276"/>
      <c r="H58" s="276"/>
      <c r="I58" s="276"/>
    </row>
    <row r="59" spans="1:9" x14ac:dyDescent="0.25">
      <c r="A59" s="145"/>
      <c r="B59" s="90"/>
      <c r="C59" s="284"/>
      <c r="D59" s="284"/>
      <c r="E59" s="284"/>
      <c r="F59" s="285"/>
      <c r="G59" s="276"/>
      <c r="H59" s="276"/>
      <c r="I59" s="276"/>
    </row>
    <row r="60" spans="1:9" x14ac:dyDescent="0.25">
      <c r="A60" s="138" t="s">
        <v>73</v>
      </c>
      <c r="C60" s="276"/>
      <c r="D60" s="276"/>
      <c r="E60" s="276"/>
      <c r="F60" s="275"/>
      <c r="G60" s="276"/>
      <c r="H60" s="276"/>
      <c r="I60" s="276"/>
    </row>
    <row r="61" spans="1:9" x14ac:dyDescent="0.25">
      <c r="A61" s="32"/>
      <c r="C61" s="276"/>
      <c r="D61" s="276"/>
      <c r="E61" s="276"/>
      <c r="F61" s="275"/>
      <c r="G61" s="276"/>
      <c r="H61" s="276"/>
      <c r="I61" s="276"/>
    </row>
    <row r="62" spans="1:9" x14ac:dyDescent="0.25">
      <c r="A62" s="32" t="s">
        <v>74</v>
      </c>
      <c r="B62" s="18" t="s">
        <v>75</v>
      </c>
      <c r="C62" s="286">
        <v>20</v>
      </c>
      <c r="D62" s="276"/>
      <c r="E62" s="276" t="s">
        <v>76</v>
      </c>
      <c r="F62" s="275"/>
      <c r="G62" s="276"/>
      <c r="H62" s="276"/>
      <c r="I62" s="276"/>
    </row>
    <row r="63" spans="1:9" x14ac:dyDescent="0.25">
      <c r="A63" s="32" t="s">
        <v>77</v>
      </c>
      <c r="B63" s="18" t="s">
        <v>75</v>
      </c>
      <c r="C63" s="286">
        <v>20</v>
      </c>
      <c r="D63" s="276"/>
      <c r="E63" s="276" t="s">
        <v>78</v>
      </c>
      <c r="F63" s="275"/>
      <c r="G63" s="276"/>
      <c r="H63" s="276"/>
      <c r="I63" s="276"/>
    </row>
    <row r="64" spans="1:9" x14ac:dyDescent="0.25">
      <c r="A64" s="32" t="s">
        <v>79</v>
      </c>
      <c r="B64" s="18" t="s">
        <v>75</v>
      </c>
      <c r="C64" s="286">
        <v>20</v>
      </c>
      <c r="D64" s="276"/>
      <c r="E64" s="276" t="s">
        <v>78</v>
      </c>
      <c r="F64" s="275"/>
      <c r="G64" s="276"/>
      <c r="H64" s="276"/>
      <c r="I64" s="276"/>
    </row>
    <row r="65" spans="1:11" x14ac:dyDescent="0.25">
      <c r="A65" s="21"/>
      <c r="B65" s="60"/>
      <c r="C65" s="281"/>
      <c r="D65" s="281"/>
      <c r="E65" s="281"/>
      <c r="F65" s="282"/>
      <c r="G65" s="276"/>
      <c r="H65" s="276"/>
      <c r="I65" s="276"/>
    </row>
    <row r="68" spans="1:11" x14ac:dyDescent="0.25">
      <c r="A68" s="28" t="s">
        <v>80</v>
      </c>
      <c r="B68" s="60"/>
      <c r="C68" s="60"/>
      <c r="D68" s="60"/>
      <c r="E68" s="60"/>
      <c r="F68" s="60"/>
      <c r="G68" s="60"/>
      <c r="H68" s="60"/>
      <c r="I68" s="28" t="s">
        <v>81</v>
      </c>
    </row>
    <row r="70" spans="1:11" x14ac:dyDescent="0.25">
      <c r="A70" s="17" t="s">
        <v>82</v>
      </c>
      <c r="B70" s="17"/>
      <c r="C70" s="17"/>
      <c r="D70" s="17"/>
      <c r="E70" s="17"/>
      <c r="F70" s="17"/>
      <c r="G70" s="142"/>
      <c r="H70" s="142"/>
      <c r="I70" s="146">
        <f>'Grøft med dieseldrevet utstyr'!$D$13+'Grøft med dieseldrevet utstyr'!$C$52+'Grøft med dieseldrevet utstyr'!$D$67+'Grøft med dieseldrevet utstyr'!$E$75+'Grøft med dieseldrevet utstyr'!$E$91+'Grøft med dieseldrevet utstyr'!$E$106+'Grøft med dieseldrevet utstyr'!C116+'Grøft med dieseldrevet utstyr'!$C$124</f>
        <v>45469.500803127543</v>
      </c>
    </row>
    <row r="71" spans="1:11" x14ac:dyDescent="0.25">
      <c r="I71" s="147"/>
    </row>
    <row r="72" spans="1:11" x14ac:dyDescent="0.25">
      <c r="A72" s="17" t="s">
        <v>83</v>
      </c>
      <c r="B72" s="17"/>
      <c r="C72" s="17"/>
      <c r="D72" s="17"/>
      <c r="E72" s="17"/>
      <c r="F72" s="17"/>
      <c r="G72" s="142"/>
      <c r="H72" s="142"/>
      <c r="I72" s="146">
        <f>'Grøft med elektrisk utstyr'!$D$13+'Grøft med elektrisk utstyr'!$C$52+'Grøft med elektrisk utstyr'!$D$67+'Grøft med elektrisk utstyr'!$E$75+'Grøft med elektrisk utstyr'!$E$91+'Grøft med elektrisk utstyr'!$E$106+'Grøft med elektrisk utstyr'!C116+'Grøft med elektrisk utstyr'!$E$128</f>
        <v>21857.369043127546</v>
      </c>
      <c r="J72" s="266"/>
    </row>
    <row r="73" spans="1:11" x14ac:dyDescent="0.25">
      <c r="I73" s="147"/>
    </row>
    <row r="74" spans="1:11" x14ac:dyDescent="0.25">
      <c r="A74" s="311" t="s">
        <v>84</v>
      </c>
      <c r="B74" s="311"/>
      <c r="C74" s="311"/>
      <c r="D74" s="311"/>
      <c r="E74" s="311"/>
      <c r="F74" s="311"/>
      <c r="G74" s="311"/>
      <c r="H74" s="312"/>
      <c r="I74" s="146">
        <f>'NO-dig med blokking'!$D$16+'NO-dig med blokking'!$E$32+'NO-dig med blokking'!$D$47</f>
        <v>2758.4002002463335</v>
      </c>
      <c r="J74" s="215" t="s">
        <v>44</v>
      </c>
      <c r="K74" s="142"/>
    </row>
    <row r="76" spans="1:11" x14ac:dyDescent="0.25">
      <c r="A76" s="311" t="s">
        <v>85</v>
      </c>
      <c r="B76" s="311"/>
      <c r="C76" s="311"/>
      <c r="D76" s="311"/>
      <c r="E76" s="311"/>
      <c r="F76" s="311"/>
      <c r="G76" s="311"/>
      <c r="H76" s="312"/>
      <c r="I76" s="146">
        <f>'NO-dig med blokking'!$D$16+'NO-dig med blokking'!$E$32+'NO-dig med blokking'!$F$62</f>
        <v>288.625498913</v>
      </c>
      <c r="J76" s="215" t="s">
        <v>44</v>
      </c>
    </row>
    <row r="77" spans="1:11" x14ac:dyDescent="0.25">
      <c r="J77" s="236"/>
    </row>
    <row r="78" spans="1:11" x14ac:dyDescent="0.25">
      <c r="A78" s="17" t="s">
        <v>86</v>
      </c>
      <c r="I78" s="146">
        <f>'NO-dig med strømpe'!$I$11+'NO-dig med strømpe'!$F$23</f>
        <v>0</v>
      </c>
      <c r="J78" s="236"/>
    </row>
  </sheetData>
  <sheetProtection algorithmName="SHA-512" hashValue="kVe2daarKWzSkTkrWCN6WyKwpJFcNVB3Z83nZWOdLi7Fl9pIW674LgMe4N/mzdj4tLXBfqLjuRNggc+tFvmYSA==" saltValue="cF5N47RdVj5lBLeIoxwK8w==" spinCount="100000" sheet="1" selectLockedCells="1"/>
  <mergeCells count="7">
    <mergeCell ref="A76:H76"/>
    <mergeCell ref="A74:H74"/>
    <mergeCell ref="A3:B3"/>
    <mergeCell ref="A26:B26"/>
    <mergeCell ref="A27:B27"/>
    <mergeCell ref="A28:B28"/>
    <mergeCell ref="F8:H8"/>
  </mergeCell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1">
        <x14:dataValidation type="list" allowBlank="1" showInputMessage="1" showErrorMessage="1" xr:uid="{6AA871FA-5DD3-4B35-8774-1026E801D9E4}">
          <x14:formula1>
            <xm:f>Valg!$I$47:$I$63</xm:f>
          </x14:formula1>
          <xm:sqref>E29</xm:sqref>
        </x14:dataValidation>
        <x14:dataValidation type="list" allowBlank="1" showInputMessage="1" showErrorMessage="1" xr:uid="{BD90F61F-4F91-4734-8632-4BCA9590A08E}">
          <x14:formula1>
            <xm:f>Valg!$C$20:$C$40</xm:f>
          </x14:formula1>
          <xm:sqref>E54:E56</xm:sqref>
        </x14:dataValidation>
        <x14:dataValidation type="list" allowBlank="1" showInputMessage="1" showErrorMessage="1" xr:uid="{0271A22D-FB19-4CFD-A212-55059AF89D3E}">
          <x14:formula1>
            <xm:f>Valg!$B$14:$B$16</xm:f>
          </x14:formula1>
          <xm:sqref>C38:C40</xm:sqref>
        </x14:dataValidation>
        <x14:dataValidation type="list" allowBlank="1" showInputMessage="1" showErrorMessage="1" xr:uid="{1914AA8F-A974-4F78-B5A1-270B6AF54E2D}">
          <x14:formula1>
            <xm:f>Valg!$B$20:$B$22</xm:f>
          </x14:formula1>
          <xm:sqref>C54:C56</xm:sqref>
        </x14:dataValidation>
        <x14:dataValidation type="list" allowBlank="1" showInputMessage="1" showErrorMessage="1" xr:uid="{E1F1C85D-35F7-4849-8906-CF03172A5E0A}">
          <x14:formula1>
            <xm:f>Valg!$F$47:$F$63</xm:f>
          </x14:formula1>
          <xm:sqref>E26</xm:sqref>
        </x14:dataValidation>
        <x14:dataValidation type="list" allowBlank="1" showInputMessage="1" showErrorMessage="1" xr:uid="{8042AFD0-D0EE-4DEE-AA9C-31BDC3E3640D}">
          <x14:formula1>
            <xm:f>Valg!$G$47:$G$63</xm:f>
          </x14:formula1>
          <xm:sqref>E27</xm:sqref>
        </x14:dataValidation>
        <x14:dataValidation type="list" allowBlank="1" showInputMessage="1" showErrorMessage="1" xr:uid="{5C4D44AE-62D9-43B7-A7C6-F5634C712225}">
          <x14:formula1>
            <xm:f>Valg!$H$47:$H$63</xm:f>
          </x14:formula1>
          <xm:sqref>E28</xm:sqref>
        </x14:dataValidation>
        <x14:dataValidation type="list" allowBlank="1" showInputMessage="1" showErrorMessage="1" xr:uid="{70793F7F-259B-46C2-A958-6681913853A1}">
          <x14:formula1>
            <xm:f>Valg!$B$2:$B$10</xm:f>
          </x14:formula1>
          <xm:sqref>C26:C32</xm:sqref>
        </x14:dataValidation>
        <x14:dataValidation type="list" allowBlank="1" showInputMessage="1" showErrorMessage="1" xr:uid="{C97A7CD5-7DD2-4158-B112-D6A5B732699E}">
          <x14:formula1>
            <xm:f>Valg!$J$47:$J$63</xm:f>
          </x14:formula1>
          <xm:sqref>E30</xm:sqref>
        </x14:dataValidation>
        <x14:dataValidation type="list" allowBlank="1" showInputMessage="1" showErrorMessage="1" xr:uid="{38F086E2-A182-47CE-A106-C98983D56012}">
          <x14:formula1>
            <xm:f>Valg!$K$47:$K$63</xm:f>
          </x14:formula1>
          <xm:sqref>E31</xm:sqref>
        </x14:dataValidation>
        <x14:dataValidation type="list" allowBlank="1" showInputMessage="1" showErrorMessage="1" xr:uid="{68AFF6C4-FD30-4036-97B8-A9523831DE88}">
          <x14:formula1>
            <xm:f>Valg!$L$47:$L$63</xm:f>
          </x14:formula1>
          <xm:sqref>E32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269CBC-31B6-481E-A31E-4D2C8932E91B}">
  <dimension ref="A1:O139"/>
  <sheetViews>
    <sheetView zoomScaleNormal="100" workbookViewId="0">
      <selection activeCell="A172" sqref="A172"/>
    </sheetView>
  </sheetViews>
  <sheetFormatPr defaultColWidth="8.875" defaultRowHeight="16.5" x14ac:dyDescent="0.25"/>
  <cols>
    <col min="1" max="1" width="60.66796875" style="18" customWidth="1"/>
    <col min="2" max="2" width="19.7734375" style="18" customWidth="1"/>
    <col min="3" max="3" width="35.51171875" style="18" customWidth="1"/>
    <col min="4" max="4" width="32.6875" style="18" customWidth="1"/>
    <col min="5" max="5" width="42.640625" style="18" customWidth="1"/>
    <col min="6" max="6" width="9.68359375" style="18" customWidth="1"/>
    <col min="7" max="7" width="9.68359375" style="18" bestFit="1" customWidth="1"/>
    <col min="8" max="8" width="9.68359375" style="18" customWidth="1"/>
    <col min="9" max="9" width="12.64453125" style="18" customWidth="1"/>
    <col min="10" max="10" width="15.73828125" style="18" customWidth="1"/>
    <col min="11" max="11" width="9.68359375" style="18" customWidth="1"/>
    <col min="12" max="12" width="18.6953125" style="18" customWidth="1"/>
    <col min="13" max="13" width="15.87109375" style="18" customWidth="1"/>
    <col min="14" max="16384" width="8.875" style="18"/>
  </cols>
  <sheetData>
    <row r="1" spans="1:15" ht="24" customHeight="1" x14ac:dyDescent="0.35">
      <c r="A1" s="3" t="s">
        <v>87</v>
      </c>
      <c r="E1" s="324"/>
      <c r="F1" s="324"/>
      <c r="G1" s="324"/>
      <c r="H1" s="324"/>
      <c r="I1" s="324"/>
      <c r="J1" s="324"/>
      <c r="K1" s="324"/>
      <c r="L1" s="324"/>
      <c r="M1" s="324"/>
      <c r="N1" s="324"/>
      <c r="O1" s="324"/>
    </row>
    <row r="2" spans="1:15" ht="15" customHeight="1" x14ac:dyDescent="0.25">
      <c r="A2" s="17"/>
    </row>
    <row r="3" spans="1:15" ht="15" customHeight="1" x14ac:dyDescent="0.25">
      <c r="A3" s="17"/>
    </row>
    <row r="4" spans="1:15" ht="21" x14ac:dyDescent="0.25">
      <c r="A4" s="322" t="s">
        <v>88</v>
      </c>
      <c r="B4" s="322"/>
      <c r="C4" s="322"/>
      <c r="D4" s="60"/>
      <c r="E4" s="60"/>
      <c r="F4" s="60"/>
      <c r="G4" s="60"/>
      <c r="H4" s="60"/>
      <c r="I4" s="60"/>
      <c r="J4" s="60"/>
      <c r="K4" s="60"/>
      <c r="L4" s="60"/>
      <c r="M4" s="60"/>
    </row>
    <row r="5" spans="1:15" ht="21" customHeight="1" x14ac:dyDescent="0.25">
      <c r="A5" s="148"/>
      <c r="B5" s="148"/>
      <c r="C5" s="148"/>
    </row>
    <row r="6" spans="1:15" x14ac:dyDescent="0.25">
      <c r="A6" s="29" t="s">
        <v>89</v>
      </c>
      <c r="B6" s="29" t="s">
        <v>90</v>
      </c>
      <c r="C6" s="122">
        <v>11.6</v>
      </c>
      <c r="D6" s="219" t="s">
        <v>91</v>
      </c>
      <c r="E6" s="236"/>
    </row>
    <row r="7" spans="1:15" x14ac:dyDescent="0.25">
      <c r="A7" s="29"/>
      <c r="B7" s="29"/>
      <c r="C7" s="51"/>
      <c r="D7" s="52"/>
    </row>
    <row r="8" spans="1:15" x14ac:dyDescent="0.25">
      <c r="A8" s="29" t="s">
        <v>92</v>
      </c>
      <c r="B8" s="29" t="s">
        <v>31</v>
      </c>
      <c r="C8" s="122">
        <f>INPUT!C10+2*(1.5*INPUT!C9)</f>
        <v>0</v>
      </c>
      <c r="D8" s="53" t="s">
        <v>93</v>
      </c>
    </row>
    <row r="10" spans="1:15" ht="18" customHeight="1" x14ac:dyDescent="0.25">
      <c r="A10" s="22"/>
      <c r="B10" s="23"/>
      <c r="C10" s="24" t="s">
        <v>94</v>
      </c>
      <c r="D10" s="25" t="s">
        <v>95</v>
      </c>
      <c r="E10" s="56"/>
    </row>
    <row r="11" spans="1:15" ht="18" customHeight="1" x14ac:dyDescent="0.25">
      <c r="A11" s="227"/>
      <c r="B11" s="228"/>
      <c r="C11" s="229" t="s">
        <v>96</v>
      </c>
      <c r="D11" s="230" t="s">
        <v>97</v>
      </c>
      <c r="E11" s="56"/>
    </row>
    <row r="12" spans="1:15" x14ac:dyDescent="0.25">
      <c r="A12" s="327" t="s">
        <v>98</v>
      </c>
      <c r="B12" s="328"/>
      <c r="C12" s="39">
        <f>$C$8*INPUT!$C$11</f>
        <v>0</v>
      </c>
      <c r="D12" s="46">
        <f>$C$6*$C$12</f>
        <v>0</v>
      </c>
      <c r="E12" s="50"/>
    </row>
    <row r="13" spans="1:15" x14ac:dyDescent="0.25">
      <c r="A13" s="20" t="s">
        <v>99</v>
      </c>
      <c r="B13" s="41"/>
      <c r="C13" s="45"/>
      <c r="D13" s="75">
        <f>D12</f>
        <v>0</v>
      </c>
      <c r="E13" s="50"/>
    </row>
    <row r="14" spans="1:15" x14ac:dyDescent="0.25">
      <c r="A14" s="47"/>
      <c r="B14" s="47"/>
      <c r="C14" s="48"/>
      <c r="D14" s="49"/>
    </row>
    <row r="15" spans="1:15" x14ac:dyDescent="0.25">
      <c r="A15" s="15"/>
      <c r="B15" s="15"/>
      <c r="C15" s="37"/>
      <c r="D15" s="38"/>
    </row>
    <row r="16" spans="1:15" ht="21" x14ac:dyDescent="0.25">
      <c r="A16" s="322" t="s">
        <v>100</v>
      </c>
      <c r="B16" s="322"/>
      <c r="C16" s="322"/>
      <c r="D16" s="68"/>
      <c r="E16" s="60"/>
      <c r="F16" s="60"/>
      <c r="G16" s="60"/>
      <c r="H16" s="60"/>
      <c r="I16" s="60"/>
      <c r="J16" s="60"/>
      <c r="K16" s="60"/>
      <c r="L16" s="60"/>
      <c r="M16" s="60"/>
    </row>
    <row r="17" spans="1:6" ht="15.75" customHeight="1" x14ac:dyDescent="0.25">
      <c r="A17" s="148"/>
      <c r="B17" s="148"/>
      <c r="C17" s="148"/>
      <c r="D17" s="38"/>
    </row>
    <row r="18" spans="1:6" ht="15.75" customHeight="1" x14ac:dyDescent="0.25">
      <c r="A18" s="149"/>
      <c r="B18" s="150"/>
      <c r="C18" s="150"/>
      <c r="D18" s="247"/>
    </row>
    <row r="19" spans="1:6" ht="15.75" customHeight="1" x14ac:dyDescent="0.25">
      <c r="A19" s="132" t="s">
        <v>101</v>
      </c>
      <c r="B19" s="148"/>
      <c r="C19" s="148"/>
      <c r="D19" s="248"/>
    </row>
    <row r="20" spans="1:6" x14ac:dyDescent="0.25">
      <c r="A20" s="132"/>
      <c r="B20" s="15"/>
      <c r="C20" s="37"/>
      <c r="D20" s="248"/>
      <c r="F20" s="155"/>
    </row>
    <row r="21" spans="1:6" x14ac:dyDescent="0.25">
      <c r="A21" s="54" t="s">
        <v>102</v>
      </c>
      <c r="B21" s="15" t="s">
        <v>103</v>
      </c>
      <c r="C21" s="121">
        <v>2.5</v>
      </c>
      <c r="D21" s="249" t="s">
        <v>91</v>
      </c>
      <c r="E21" s="237"/>
    </row>
    <row r="22" spans="1:6" x14ac:dyDescent="0.25">
      <c r="A22" s="54"/>
      <c r="B22" s="15"/>
      <c r="C22" s="98"/>
      <c r="D22" s="249"/>
      <c r="E22" s="215"/>
    </row>
    <row r="23" spans="1:6" x14ac:dyDescent="0.25">
      <c r="A23" s="54" t="s">
        <v>104</v>
      </c>
      <c r="B23" s="15" t="s">
        <v>105</v>
      </c>
      <c r="C23" s="121">
        <v>0.63</v>
      </c>
      <c r="D23" s="249" t="s">
        <v>91</v>
      </c>
      <c r="E23" s="237"/>
    </row>
    <row r="24" spans="1:6" x14ac:dyDescent="0.25">
      <c r="A24" s="54"/>
      <c r="B24" s="15"/>
      <c r="C24" s="98"/>
      <c r="D24" s="249"/>
      <c r="E24" s="215"/>
    </row>
    <row r="25" spans="1:6" ht="30" x14ac:dyDescent="0.25">
      <c r="A25" s="217" t="s">
        <v>106</v>
      </c>
      <c r="B25" s="15" t="s">
        <v>107</v>
      </c>
      <c r="C25" s="244">
        <v>3.0131999999999999</v>
      </c>
      <c r="D25" s="253" t="s">
        <v>91</v>
      </c>
      <c r="E25" s="237"/>
      <c r="F25" s="142"/>
    </row>
    <row r="26" spans="1:6" x14ac:dyDescent="0.25">
      <c r="A26" s="217"/>
      <c r="B26" s="15"/>
      <c r="C26" s="246"/>
      <c r="D26" s="251"/>
      <c r="E26" s="125"/>
      <c r="F26" s="142"/>
    </row>
    <row r="27" spans="1:6" ht="30" x14ac:dyDescent="0.25">
      <c r="A27" s="217" t="s">
        <v>108</v>
      </c>
      <c r="B27" s="15" t="s">
        <v>107</v>
      </c>
      <c r="C27" s="244">
        <v>1.92</v>
      </c>
      <c r="D27" s="251" t="s">
        <v>91</v>
      </c>
      <c r="E27" s="237"/>
      <c r="F27" s="142"/>
    </row>
    <row r="28" spans="1:6" x14ac:dyDescent="0.25">
      <c r="A28" s="54"/>
      <c r="B28" s="15"/>
      <c r="C28" s="98"/>
      <c r="D28" s="249"/>
      <c r="E28" s="215"/>
    </row>
    <row r="29" spans="1:6" x14ac:dyDescent="0.25">
      <c r="A29" s="54" t="s">
        <v>109</v>
      </c>
      <c r="B29" s="15" t="s">
        <v>110</v>
      </c>
      <c r="C29" s="123">
        <f>0.03*1000</f>
        <v>30</v>
      </c>
      <c r="D29" s="251" t="s">
        <v>91</v>
      </c>
      <c r="E29" s="237"/>
    </row>
    <row r="30" spans="1:6" x14ac:dyDescent="0.25">
      <c r="A30" s="54"/>
      <c r="B30" s="15"/>
      <c r="C30" s="125"/>
      <c r="D30" s="251"/>
      <c r="E30" s="215"/>
    </row>
    <row r="31" spans="1:6" x14ac:dyDescent="0.25">
      <c r="A31" s="131" t="s">
        <v>111</v>
      </c>
      <c r="B31" s="29" t="s">
        <v>112</v>
      </c>
      <c r="C31" s="124">
        <v>0.12918150000000003</v>
      </c>
      <c r="D31" s="249" t="s">
        <v>91</v>
      </c>
      <c r="E31" s="237"/>
    </row>
    <row r="32" spans="1:6" x14ac:dyDescent="0.25">
      <c r="A32" s="54"/>
      <c r="B32" s="15"/>
      <c r="C32" s="125"/>
      <c r="D32" s="251"/>
      <c r="E32" s="215"/>
    </row>
    <row r="33" spans="1:5" x14ac:dyDescent="0.25">
      <c r="A33" s="54" t="s">
        <v>113</v>
      </c>
      <c r="B33" s="15" t="s">
        <v>105</v>
      </c>
      <c r="C33" s="121">
        <v>0.8</v>
      </c>
      <c r="D33" s="249" t="s">
        <v>91</v>
      </c>
      <c r="E33" s="237"/>
    </row>
    <row r="34" spans="1:5" x14ac:dyDescent="0.25">
      <c r="A34" s="78"/>
      <c r="B34" s="79"/>
      <c r="C34" s="133"/>
      <c r="D34" s="252"/>
    </row>
    <row r="35" spans="1:5" x14ac:dyDescent="0.25">
      <c r="A35" s="15"/>
      <c r="B35" s="15"/>
      <c r="C35" s="98"/>
      <c r="D35" s="99"/>
    </row>
    <row r="36" spans="1:5" x14ac:dyDescent="0.25">
      <c r="A36" s="47" t="s">
        <v>114</v>
      </c>
      <c r="B36" s="15"/>
      <c r="C36" s="98"/>
      <c r="D36" s="99"/>
    </row>
    <row r="37" spans="1:5" x14ac:dyDescent="0.25">
      <c r="A37" s="15" t="s">
        <v>115</v>
      </c>
      <c r="B37" s="15" t="s">
        <v>116</v>
      </c>
      <c r="C37" s="121">
        <f>INPUT!C17*(INPUT!C20/1000)*'Grøft med dieseldrevet utstyr'!C8</f>
        <v>0</v>
      </c>
      <c r="D37" s="99"/>
    </row>
    <row r="38" spans="1:5" x14ac:dyDescent="0.25">
      <c r="A38" s="15" t="s">
        <v>117</v>
      </c>
      <c r="B38" s="15" t="s">
        <v>118</v>
      </c>
      <c r="C38" s="121">
        <f>C21*C37</f>
        <v>0</v>
      </c>
      <c r="D38" s="99"/>
    </row>
    <row r="39" spans="1:5" x14ac:dyDescent="0.25">
      <c r="A39" s="15"/>
      <c r="B39" s="15"/>
      <c r="C39" s="98"/>
      <c r="D39" s="99"/>
    </row>
    <row r="40" spans="1:5" x14ac:dyDescent="0.25">
      <c r="A40" s="15" t="s">
        <v>119</v>
      </c>
      <c r="B40" s="15" t="s">
        <v>120</v>
      </c>
      <c r="C40" s="218">
        <f>IF(INPUT!I8="",$C$23*$C$38*$C$25+$C$31*$C$38*INPUT!$C$64,$C$23*$C$38*$C$27+$C$31*$C$38*INPUT!$C$64)</f>
        <v>0</v>
      </c>
      <c r="D40" s="99"/>
    </row>
    <row r="41" spans="1:5" x14ac:dyDescent="0.25">
      <c r="A41" s="15"/>
      <c r="B41" s="15"/>
      <c r="C41" s="98"/>
      <c r="D41" s="99"/>
    </row>
    <row r="42" spans="1:5" x14ac:dyDescent="0.25">
      <c r="A42" s="47"/>
      <c r="B42" s="15"/>
      <c r="C42" s="98"/>
      <c r="D42" s="38"/>
    </row>
    <row r="43" spans="1:5" x14ac:dyDescent="0.25">
      <c r="A43" s="47" t="s">
        <v>121</v>
      </c>
      <c r="B43" s="15"/>
      <c r="C43" s="225" t="s">
        <v>122</v>
      </c>
      <c r="D43" s="226" t="s">
        <v>123</v>
      </c>
      <c r="E43" s="237"/>
    </row>
    <row r="44" spans="1:5" x14ac:dyDescent="0.25">
      <c r="A44" s="15" t="s">
        <v>124</v>
      </c>
      <c r="B44" s="15" t="s">
        <v>31</v>
      </c>
      <c r="C44" s="129">
        <v>5.5</v>
      </c>
      <c r="D44" s="61">
        <v>2.5</v>
      </c>
      <c r="E44" s="261"/>
    </row>
    <row r="45" spans="1:5" x14ac:dyDescent="0.25">
      <c r="A45" s="15" t="s">
        <v>36</v>
      </c>
      <c r="B45" s="15" t="s">
        <v>31</v>
      </c>
      <c r="C45" s="130">
        <v>0.1</v>
      </c>
      <c r="D45" s="127">
        <v>0.05</v>
      </c>
    </row>
    <row r="46" spans="1:5" x14ac:dyDescent="0.25">
      <c r="A46" s="47"/>
      <c r="B46" s="15"/>
      <c r="C46" s="98"/>
      <c r="D46" s="38"/>
    </row>
    <row r="47" spans="1:5" x14ac:dyDescent="0.25">
      <c r="A47" s="15" t="s">
        <v>125</v>
      </c>
      <c r="B47" s="15" t="s">
        <v>116</v>
      </c>
      <c r="C47" s="121">
        <f>INPUT!C17*C44*C45+INPUT!C17*'Grøft med dieseldrevet utstyr'!D44*'Grøft med dieseldrevet utstyr'!D45</f>
        <v>135</v>
      </c>
      <c r="D47" s="38"/>
    </row>
    <row r="48" spans="1:5" x14ac:dyDescent="0.25">
      <c r="A48" s="15" t="s">
        <v>126</v>
      </c>
      <c r="B48" s="15" t="s">
        <v>118</v>
      </c>
      <c r="C48" s="121">
        <f>C47*C21</f>
        <v>337.5</v>
      </c>
      <c r="D48" s="38"/>
    </row>
    <row r="49" spans="1:13" x14ac:dyDescent="0.25">
      <c r="A49" s="15"/>
      <c r="B49" s="15"/>
      <c r="C49" s="125"/>
      <c r="D49" s="38"/>
    </row>
    <row r="50" spans="1:13" x14ac:dyDescent="0.25">
      <c r="A50" s="29" t="s">
        <v>127</v>
      </c>
      <c r="B50" s="29" t="s">
        <v>120</v>
      </c>
      <c r="C50" s="122">
        <f>IF(INPUT!I8="", $C$48*$C$33*$C$25+$C$29*$C$48+$C$31*$C$48*INPUT!$C$64, $C$48*$C$33*$C$27+$C$29*$C$48+$C$31*$C$48*INPUT!$C$64)</f>
        <v>11515.375125</v>
      </c>
      <c r="D50" s="44"/>
    </row>
    <row r="51" spans="1:13" x14ac:dyDescent="0.25">
      <c r="A51" s="15"/>
      <c r="B51" s="15"/>
      <c r="C51" s="37"/>
      <c r="D51" s="38"/>
    </row>
    <row r="52" spans="1:13" x14ac:dyDescent="0.25">
      <c r="A52" s="20" t="s">
        <v>99</v>
      </c>
      <c r="B52" s="19"/>
      <c r="C52" s="74">
        <f>$C$40+$C$50</f>
        <v>11515.375125</v>
      </c>
      <c r="D52" s="55"/>
      <c r="E52" s="152"/>
    </row>
    <row r="53" spans="1:13" x14ac:dyDescent="0.25">
      <c r="A53" s="15"/>
      <c r="B53" s="15"/>
      <c r="C53" s="37"/>
      <c r="D53" s="38"/>
    </row>
    <row r="55" spans="1:13" ht="21" x14ac:dyDescent="0.25">
      <c r="A55" s="322" t="s">
        <v>128</v>
      </c>
      <c r="B55" s="322"/>
      <c r="C55" s="322"/>
      <c r="D55" s="60"/>
      <c r="E55" s="60"/>
      <c r="F55" s="60"/>
      <c r="G55" s="60"/>
      <c r="H55" s="60"/>
      <c r="I55" s="60"/>
      <c r="J55" s="60"/>
      <c r="K55" s="60"/>
      <c r="L55" s="60"/>
      <c r="M55" s="60"/>
    </row>
    <row r="57" spans="1:13" x14ac:dyDescent="0.25">
      <c r="B57" s="17"/>
    </row>
    <row r="58" spans="1:13" ht="18" customHeight="1" x14ac:dyDescent="0.25">
      <c r="A58" s="22"/>
      <c r="B58" s="23"/>
      <c r="C58" s="24" t="s">
        <v>129</v>
      </c>
      <c r="D58" s="25" t="s">
        <v>130</v>
      </c>
    </row>
    <row r="59" spans="1:13" ht="18" customHeight="1" x14ac:dyDescent="0.25">
      <c r="A59" s="227"/>
      <c r="B59" s="228"/>
      <c r="C59" s="229" t="s">
        <v>131</v>
      </c>
      <c r="D59" s="230" t="s">
        <v>132</v>
      </c>
    </row>
    <row r="60" spans="1:13" x14ac:dyDescent="0.25">
      <c r="A60" s="329" t="s">
        <v>133</v>
      </c>
      <c r="B60" s="330"/>
      <c r="C60" s="59" cm="1">
        <f t="array" ref="C60">IF(AND(INPUT!$C$26&lt;&gt;"Velg materiale", INPUT!$E$26&lt;&gt;"Velg dimensjon"), INDEX('Rør spesifikasjoner'!$I$1:$I$67, MATCH(1, ('Rør spesifikasjoner'!$G$1:$G$67=INPUT!$C$26) * ('Rør spesifikasjoner'!$H$1:$H$67=INPUT!$E$26), 0)), "Materiale eller dimensjon ikke valgt")</f>
        <v>20.168700000000001</v>
      </c>
      <c r="D60" s="61">
        <f>IF(ISNUMBER(C60),C60*INPUT!G26,"")</f>
        <v>201.68700000000001</v>
      </c>
    </row>
    <row r="61" spans="1:13" x14ac:dyDescent="0.25">
      <c r="A61" s="320" t="s">
        <v>134</v>
      </c>
      <c r="B61" s="321"/>
      <c r="C61" s="59" t="str" cm="1">
        <f t="array" ref="C61">IF(AND(INPUT!$C$27&lt;&gt;"Velg materiale", INPUT!$E$27&lt;&gt;"Velg dimensjon"), INDEX('Rør spesifikasjoner'!$I$1:$I$67, MATCH(1, ('Rør spesifikasjoner'!$G$1:$G$67=INPUT!$C$27) * ('Rør spesifikasjoner'!$H$1:$H$67=INPUT!$E$27), 0)), "Materiale eller dimensjon ikke valgt")</f>
        <v>Materiale eller dimensjon ikke valgt</v>
      </c>
      <c r="D61" s="61" t="str">
        <f>IF(ISNUMBER(C61),C61*INPUT!G27,"")</f>
        <v/>
      </c>
    </row>
    <row r="62" spans="1:13" x14ac:dyDescent="0.25">
      <c r="A62" s="320" t="s">
        <v>135</v>
      </c>
      <c r="B62" s="321"/>
      <c r="C62" s="59" t="str" cm="1">
        <f t="array" ref="C62">IF(AND(INPUT!$C$28&lt;&gt;"Velg materiale", INPUT!$E$28&lt;&gt;"Velg dimensjon"), INDEX('Rør spesifikasjoner'!$I$1:$I$67, MATCH(1, ('Rør spesifikasjoner'!$G$1:$G$67=INPUT!$C$28) * ('Rør spesifikasjoner'!$H$1:$H$67=INPUT!$E$28), 0)), "Materiale eller dimensjon ikke valgt")</f>
        <v>Materiale eller dimensjon ikke valgt</v>
      </c>
      <c r="D62" s="61" t="str">
        <f>IF(ISNUMBER(C62),C62*INPUT!G28,"")</f>
        <v/>
      </c>
    </row>
    <row r="63" spans="1:13" x14ac:dyDescent="0.25">
      <c r="A63" s="54" t="s">
        <v>136</v>
      </c>
      <c r="B63" s="15"/>
      <c r="C63" s="59" t="str" cm="1">
        <f t="array" ref="C63">IF(AND(INPUT!$C$29&lt;&gt;"Velg materiale", INPUT!$E$29&lt;&gt;"Velg dimensjon"), INDEX('Rør spesifikasjoner'!$I$1:$I$65, MATCH(1, ('Rør spesifikasjoner'!$G$1:$G$65=INPUT!$C$29) * ('Rør spesifikasjoner'!$H$1:$H$65=INPUT!$E$29), 0)), "Materiale eller dimensjon ikke valgt")</f>
        <v>Materiale eller dimensjon ikke valgt</v>
      </c>
      <c r="D63" s="61" t="str">
        <f>IF(ISNUMBER(C63),C63*INPUT!G29,"")</f>
        <v/>
      </c>
    </row>
    <row r="64" spans="1:13" x14ac:dyDescent="0.25">
      <c r="A64" s="54" t="s">
        <v>137</v>
      </c>
      <c r="B64" s="15"/>
      <c r="C64" s="59" t="str" cm="1">
        <f t="array" ref="C64">IF(AND(INPUT!$C$30&lt;&gt;"Velg materiale", INPUT!$E$30&lt;&gt;"Velg dimensjon"), INDEX('Rør spesifikasjoner'!$I$1:$I$65, MATCH(1, ('Rør spesifikasjoner'!$G$1:$G$65=INPUT!$C$30) * ('Rør spesifikasjoner'!$H$1:$H$65=INPUT!$E$30), 0)), "Materiale eller dimensjon ikke valgt")</f>
        <v>Materiale eller dimensjon ikke valgt</v>
      </c>
      <c r="D64" s="61" t="str">
        <f>IF(ISNUMBER(C64),C64*INPUT!G30,"")</f>
        <v/>
      </c>
    </row>
    <row r="65" spans="1:13" x14ac:dyDescent="0.25">
      <c r="A65" s="18" t="s">
        <v>138</v>
      </c>
      <c r="B65" s="15"/>
      <c r="C65" s="59" t="str" cm="1">
        <f t="array" ref="C65">IF(AND(INPUT!$C$31&lt;&gt;"Velg materiale", INPUT!$E$31&lt;&gt;"Velg dimensjon"), INDEX('Rør spesifikasjoner'!$I$1:$I$65, MATCH(1, ('Rør spesifikasjoner'!$G$1:$G$65=INPUT!$C$31) * ('Rør spesifikasjoner'!$H$1:$H$65=INPUT!$E$31), 0)), "Materiale eller dimensjon ikke valgt")</f>
        <v>Materiale eller dimensjon ikke valgt</v>
      </c>
      <c r="D65" s="61" t="str">
        <f>IF(ISNUMBER(C65),C65*INPUT!G31,"")</f>
        <v/>
      </c>
    </row>
    <row r="66" spans="1:13" x14ac:dyDescent="0.25">
      <c r="A66" s="54" t="s">
        <v>139</v>
      </c>
      <c r="B66" s="15"/>
      <c r="C66" s="59" t="str" cm="1">
        <f t="array" ref="C66">IF(AND(INPUT!$C$32&lt;&gt;"Velg materiale", INPUT!$E$32&lt;&gt;"Velg dimensjon"), INDEX('Rør spesifikasjoner'!$I$1:$I$65, MATCH(1, ('Rør spesifikasjoner'!$G$1:$G$65=INPUT!$C$32) * ('Rør spesifikasjoner'!$H$1:$H$65=INPUT!$E$32), 0)), "Materiale eller dimensjon ikke valgt")</f>
        <v>Materiale eller dimensjon ikke valgt</v>
      </c>
      <c r="D66" s="61" t="str">
        <f>IF(ISNUMBER(C66),C66*INPUT!G32,"")</f>
        <v/>
      </c>
    </row>
    <row r="67" spans="1:13" x14ac:dyDescent="0.25">
      <c r="A67" s="20" t="s">
        <v>99</v>
      </c>
      <c r="B67" s="19"/>
      <c r="C67" s="64"/>
      <c r="D67" s="73">
        <f>SUM(D60:D63)</f>
        <v>201.68700000000001</v>
      </c>
    </row>
    <row r="70" spans="1:13" x14ac:dyDescent="0.25">
      <c r="A70" s="18" t="s">
        <v>140</v>
      </c>
      <c r="B70" s="18" t="s">
        <v>141</v>
      </c>
      <c r="C70" s="165">
        <v>3.15E-3</v>
      </c>
      <c r="D70" s="215" t="s">
        <v>91</v>
      </c>
      <c r="E70" s="237"/>
    </row>
    <row r="72" spans="1:13" ht="18" customHeight="1" x14ac:dyDescent="0.25">
      <c r="A72" s="22"/>
      <c r="B72" s="23"/>
      <c r="C72" s="24" t="s">
        <v>129</v>
      </c>
      <c r="D72" s="24" t="s">
        <v>142</v>
      </c>
      <c r="E72" s="25" t="s">
        <v>130</v>
      </c>
    </row>
    <row r="73" spans="1:13" ht="18" customHeight="1" x14ac:dyDescent="0.25">
      <c r="A73" s="227"/>
      <c r="B73" s="228"/>
      <c r="C73" s="229" t="s">
        <v>143</v>
      </c>
      <c r="D73" s="229" t="s">
        <v>118</v>
      </c>
      <c r="E73" s="230" t="s">
        <v>132</v>
      </c>
    </row>
    <row r="74" spans="1:13" x14ac:dyDescent="0.25">
      <c r="A74" s="32" t="s">
        <v>144</v>
      </c>
      <c r="C74" s="35">
        <f>C70</f>
        <v>3.15E-3</v>
      </c>
      <c r="D74" s="112">
        <f>$B$100*$K$103+$C$100*$K$103</f>
        <v>852.5</v>
      </c>
      <c r="E74" s="62">
        <f>C74*(D74*1000)</f>
        <v>2685.375</v>
      </c>
      <c r="F74" s="240"/>
      <c r="K74" s="241"/>
    </row>
    <row r="75" spans="1:13" x14ac:dyDescent="0.25">
      <c r="A75" s="20" t="s">
        <v>99</v>
      </c>
      <c r="B75" s="19"/>
      <c r="C75" s="64"/>
      <c r="D75" s="116"/>
      <c r="E75" s="73">
        <f>SUM(E71:E74)</f>
        <v>2685.375</v>
      </c>
    </row>
    <row r="78" spans="1:13" ht="21" x14ac:dyDescent="0.25">
      <c r="A78" s="322" t="s">
        <v>145</v>
      </c>
      <c r="B78" s="322"/>
      <c r="C78" s="322"/>
      <c r="D78" s="60"/>
      <c r="E78" s="60"/>
      <c r="F78" s="60"/>
      <c r="G78" s="60"/>
      <c r="H78" s="60"/>
      <c r="I78" s="60"/>
      <c r="J78" s="60"/>
      <c r="K78" s="60"/>
      <c r="L78" s="60"/>
      <c r="M78" s="60"/>
    </row>
    <row r="80" spans="1:13" x14ac:dyDescent="0.25">
      <c r="A80" s="29" t="s">
        <v>146</v>
      </c>
      <c r="B80" s="29" t="s">
        <v>112</v>
      </c>
      <c r="C80" s="124">
        <v>0.12918150000000003</v>
      </c>
      <c r="D80" s="219" t="s">
        <v>91</v>
      </c>
      <c r="E80" s="237"/>
    </row>
    <row r="82" spans="1:13" ht="18" customHeight="1" x14ac:dyDescent="0.25">
      <c r="A82" s="22"/>
      <c r="B82" s="23"/>
      <c r="C82" s="24" t="s">
        <v>147</v>
      </c>
      <c r="D82" s="24" t="s">
        <v>148</v>
      </c>
      <c r="E82" s="25" t="s">
        <v>149</v>
      </c>
    </row>
    <row r="83" spans="1:13" ht="18" customHeight="1" x14ac:dyDescent="0.25">
      <c r="A83" s="227"/>
      <c r="B83" s="228"/>
      <c r="C83" s="229" t="s">
        <v>150</v>
      </c>
      <c r="D83" s="229" t="s">
        <v>112</v>
      </c>
      <c r="E83" s="230" t="s">
        <v>132</v>
      </c>
      <c r="G83" s="236"/>
      <c r="L83" s="241"/>
    </row>
    <row r="84" spans="1:13" x14ac:dyDescent="0.25">
      <c r="A84" s="329" t="s">
        <v>133</v>
      </c>
      <c r="B84" s="330"/>
      <c r="C84" s="59" cm="1">
        <f t="array" ref="C84">IF(AND(INPUT!$C$26&lt;&gt;"Velg materiale", INPUT!$E$26&lt;&gt;"Velg dimensjon"), INDEX('Rør spesifikasjoner'!$K$1:$K$67, MATCH(1, ('Rør spesifikasjoner'!$G$1:$G$67=INPUT!$C$26) * ('Rør spesifikasjoner'!$H$1:$H$67=INPUT!$E$26), 0)), "Materiale eller dimensjon ikke valgt")</f>
        <v>8.51</v>
      </c>
      <c r="D84" s="27">
        <f>$C$80</f>
        <v>0.12918150000000003</v>
      </c>
      <c r="E84" s="61">
        <f>IF(ISNUMBER(C84),INPUT!$C$62*('Grøft med dieseldrevet utstyr'!C84/1000)*'Grøft med dieseldrevet utstyr'!D84*INPUT!G26,"")</f>
        <v>0.21986691300000005</v>
      </c>
      <c r="F84" s="236"/>
    </row>
    <row r="85" spans="1:13" x14ac:dyDescent="0.25">
      <c r="A85" s="320" t="s">
        <v>134</v>
      </c>
      <c r="B85" s="321"/>
      <c r="C85" s="59" t="str" cm="1">
        <f t="array" ref="C85">IF(AND(INPUT!$C$27&lt;&gt;"Velg materiale", INPUT!$E$27&lt;&gt;"Velg dimensjon"), INDEX('Rør spesifikasjoner'!$K$1:$K$67, MATCH(1, ('Rør spesifikasjoner'!$G$1:$G$67=INPUT!$C$27) * ('Rør spesifikasjoner'!$H$1:$H$67=INPUT!$E$27), 0)), "Materiale eller dimensjon ikke valgt")</f>
        <v>Materiale eller dimensjon ikke valgt</v>
      </c>
      <c r="D85" s="27">
        <f>$C$80</f>
        <v>0.12918150000000003</v>
      </c>
      <c r="E85" s="61" t="str">
        <f>IF(ISNUMBER(C85),INPUT!$C$62*('Grøft med dieseldrevet utstyr'!C85/1000)*'Grøft med dieseldrevet utstyr'!D85*INPUT!G27,"")</f>
        <v/>
      </c>
    </row>
    <row r="86" spans="1:13" x14ac:dyDescent="0.25">
      <c r="A86" s="320" t="s">
        <v>135</v>
      </c>
      <c r="B86" s="321"/>
      <c r="C86" s="59" t="str" cm="1">
        <f t="array" ref="C86">IF(AND(INPUT!$C$28&lt;&gt;"Velg materiale", INPUT!$E$28&lt;&gt;"Velg dimensjon"), INDEX('Rør spesifikasjoner'!$K$1:$K$67, MATCH(1, ('Rør spesifikasjoner'!$G$1:$G$67=INPUT!$C$28) * ('Rør spesifikasjoner'!$H$1:$H$67=INPUT!$E$28), 0)), "Materiale eller dimensjon ikke valgt")</f>
        <v>Materiale eller dimensjon ikke valgt</v>
      </c>
      <c r="D86" s="27">
        <f>$C$80</f>
        <v>0.12918150000000003</v>
      </c>
      <c r="E86" s="61" t="str">
        <f>IF(ISNUMBER(C86),INPUT!$C$62*('Grøft med dieseldrevet utstyr'!C86/1000)*'Grøft med dieseldrevet utstyr'!D86*INPUT!G28,"")</f>
        <v/>
      </c>
    </row>
    <row r="87" spans="1:13" x14ac:dyDescent="0.25">
      <c r="A87" s="54" t="s">
        <v>136</v>
      </c>
      <c r="B87" s="15"/>
      <c r="C87" s="59" t="str" cm="1">
        <f t="array" ref="C87">IF(AND(INPUT!$C$29&lt;&gt;"Velg materiale", INPUT!$E$29&lt;&gt;"Velg dimensjon"), INDEX('Rør spesifikasjoner'!$K$1:$K$67, MATCH(1, ('Rør spesifikasjoner'!$G$1:$G$67=INPUT!$C$29) * ('Rør spesifikasjoner'!$H$1:$H$67=INPUT!$E$29), 0)), "Materiale eller dimensjon ikke valgt")</f>
        <v>Materiale eller dimensjon ikke valgt</v>
      </c>
      <c r="D87" s="27">
        <f>$C$80</f>
        <v>0.12918150000000003</v>
      </c>
      <c r="E87" s="61" t="str">
        <f>IF(ISNUMBER(C87),INPUT!$C$62*('Grøft med dieseldrevet utstyr'!C87/1000)*'Grøft med dieseldrevet utstyr'!D87*INPUT!G29,"")</f>
        <v/>
      </c>
    </row>
    <row r="88" spans="1:13" x14ac:dyDescent="0.25">
      <c r="A88" s="54" t="s">
        <v>137</v>
      </c>
      <c r="B88" s="15"/>
      <c r="C88" s="59" t="str" cm="1">
        <f t="array" ref="C88">IF(AND(INPUT!$C$30&lt;&gt;"Velg materiale", INPUT!$E$30&lt;&gt;"Velg dimensjon"), INDEX('Rør spesifikasjoner'!$K$1:$K$67, MATCH(1, ('Rør spesifikasjoner'!$G$1:$G$67=INPUT!$C$30) * ('Rør spesifikasjoner'!$H$1:$H$67=INPUT!$E$30), 0)), "Materiale eller dimensjon ikke valgt")</f>
        <v>Materiale eller dimensjon ikke valgt</v>
      </c>
      <c r="D88" s="27">
        <f t="shared" ref="D88:D90" si="0">$C$80</f>
        <v>0.12918150000000003</v>
      </c>
      <c r="E88" s="61" t="str">
        <f>IF(ISNUMBER(C88),INPUT!$C$62*('Grøft med dieseldrevet utstyr'!C88/1000)*'Grøft med dieseldrevet utstyr'!D88*INPUT!G30,"")</f>
        <v/>
      </c>
    </row>
    <row r="89" spans="1:13" x14ac:dyDescent="0.25">
      <c r="A89" s="18" t="s">
        <v>138</v>
      </c>
      <c r="B89" s="15"/>
      <c r="C89" s="59" t="str" cm="1">
        <f t="array" ref="C89">IF(AND(INPUT!$C$31&lt;&gt;"Velg materiale", INPUT!$E$31&lt;&gt;"Velg dimensjon"), INDEX('Rør spesifikasjoner'!$K$1:$K$67, MATCH(1, ('Rør spesifikasjoner'!$G$1:$G$67=INPUT!$C$31) * ('Rør spesifikasjoner'!$H$1:$H$67=INPUT!$E$31), 0)), "Materiale eller dimensjon ikke valgt")</f>
        <v>Materiale eller dimensjon ikke valgt</v>
      </c>
      <c r="D89" s="27">
        <f t="shared" si="0"/>
        <v>0.12918150000000003</v>
      </c>
      <c r="E89" s="61" t="str">
        <f>IF(ISNUMBER(C89),INPUT!$C$62*('Grøft med dieseldrevet utstyr'!C89/1000)*'Grøft med dieseldrevet utstyr'!D89*INPUT!G31,"")</f>
        <v/>
      </c>
    </row>
    <row r="90" spans="1:13" x14ac:dyDescent="0.25">
      <c r="A90" s="54" t="s">
        <v>139</v>
      </c>
      <c r="B90" s="15"/>
      <c r="C90" s="59" t="str" cm="1">
        <f t="array" ref="C90">IF(AND(INPUT!$C$32&lt;&gt;"Velg materiale", INPUT!$E$32&lt;&gt;"Velg dimensjon"), INDEX('Rør spesifikasjoner'!$K$1:$K$67, MATCH(1, ('Rør spesifikasjoner'!$G$1:$G$67=INPUT!$C$32) * ('Rør spesifikasjoner'!$H$1:$H$67=INPUT!$E$32), 0)), "Materiale eller dimensjon ikke valgt")</f>
        <v>Materiale eller dimensjon ikke valgt</v>
      </c>
      <c r="D90" s="27">
        <f t="shared" si="0"/>
        <v>0.12918150000000003</v>
      </c>
      <c r="E90" s="61" t="str">
        <f>IF(ISNUMBER(C90),INPUT!$C$62*('Grøft med dieseldrevet utstyr'!C90/1000)*'Grøft med dieseldrevet utstyr'!D90*INPUT!G32,"")</f>
        <v/>
      </c>
    </row>
    <row r="91" spans="1:13" x14ac:dyDescent="0.25">
      <c r="A91" s="34" t="s">
        <v>99</v>
      </c>
      <c r="B91" s="65"/>
      <c r="C91" s="66"/>
      <c r="D91" s="66"/>
      <c r="E91" s="72">
        <f>SUM(E84:E87)</f>
        <v>0.21986691300000005</v>
      </c>
    </row>
    <row r="94" spans="1:13" ht="21" x14ac:dyDescent="0.25">
      <c r="A94" s="322" t="s">
        <v>151</v>
      </c>
      <c r="B94" s="322"/>
      <c r="C94" s="322"/>
      <c r="D94" s="60"/>
      <c r="E94" s="60"/>
      <c r="F94" s="60"/>
      <c r="G94" s="60"/>
      <c r="H94" s="60"/>
      <c r="I94" s="60"/>
      <c r="J94" s="60"/>
      <c r="K94" s="60"/>
      <c r="L94" s="60"/>
      <c r="M94" s="60"/>
    </row>
    <row r="96" spans="1:13" x14ac:dyDescent="0.25">
      <c r="A96" s="29" t="s">
        <v>152</v>
      </c>
      <c r="B96" s="29" t="s">
        <v>112</v>
      </c>
      <c r="C96" s="128">
        <f>0.0516726*2</f>
        <v>0.1033452</v>
      </c>
      <c r="D96" s="219" t="s">
        <v>91</v>
      </c>
      <c r="E96" s="236"/>
    </row>
    <row r="97" spans="1:13" x14ac:dyDescent="0.25">
      <c r="E97" s="241"/>
    </row>
    <row r="99" spans="1:13" ht="18" customHeight="1" x14ac:dyDescent="0.25">
      <c r="A99" s="231"/>
      <c r="B99" s="232" t="s">
        <v>24</v>
      </c>
      <c r="C99" s="233" t="s">
        <v>35</v>
      </c>
    </row>
    <row r="100" spans="1:13" x14ac:dyDescent="0.25">
      <c r="A100" s="21" t="s">
        <v>153</v>
      </c>
      <c r="B100" s="69">
        <f>(INPUT!C8*INPUT!C9*INPUT!C10+INPUT!C9*0.5*INPUT!C8)*1/3</f>
        <v>0</v>
      </c>
      <c r="C100" s="70">
        <f>(INPUT!C17*INPUT!C18*INPUT!C19+INPUT!C18*0.5*INPUT!C17)*1/2</f>
        <v>550</v>
      </c>
      <c r="E100" s="18" t="s">
        <v>154</v>
      </c>
      <c r="I100" s="18" t="s">
        <v>155</v>
      </c>
    </row>
    <row r="101" spans="1:13" x14ac:dyDescent="0.25">
      <c r="B101" s="31"/>
      <c r="C101" s="31"/>
    </row>
    <row r="102" spans="1:13" ht="18" customHeight="1" x14ac:dyDescent="0.25">
      <c r="A102" s="22"/>
      <c r="B102" s="23"/>
      <c r="C102" s="24" t="s">
        <v>156</v>
      </c>
      <c r="D102" s="24" t="s">
        <v>157</v>
      </c>
      <c r="E102" s="25" t="s">
        <v>149</v>
      </c>
      <c r="I102" s="151" t="s">
        <v>157</v>
      </c>
      <c r="J102" s="153"/>
      <c r="K102" s="153"/>
      <c r="L102" s="137"/>
    </row>
    <row r="103" spans="1:13" ht="18" customHeight="1" x14ac:dyDescent="0.25">
      <c r="A103" s="227"/>
      <c r="B103" s="228"/>
      <c r="C103" s="229" t="s">
        <v>112</v>
      </c>
      <c r="D103" s="229" t="s">
        <v>158</v>
      </c>
      <c r="E103" s="230" t="s">
        <v>132</v>
      </c>
      <c r="I103" s="32" t="s">
        <v>159</v>
      </c>
      <c r="J103" s="18" t="s">
        <v>158</v>
      </c>
      <c r="K103" s="18">
        <v>1.55</v>
      </c>
      <c r="L103" s="255" t="s">
        <v>91</v>
      </c>
    </row>
    <row r="104" spans="1:13" x14ac:dyDescent="0.25">
      <c r="A104" s="32" t="s">
        <v>160</v>
      </c>
      <c r="C104" s="91">
        <f>$C$96</f>
        <v>0.1033452</v>
      </c>
      <c r="D104" s="35">
        <f>$K$103</f>
        <v>1.55</v>
      </c>
      <c r="E104" s="62">
        <f>$C$104*INPUT!$C$63*$D$104*($B$100+$C$100)</f>
        <v>1762.0356600000002</v>
      </c>
      <c r="F104" s="236"/>
      <c r="I104" s="21" t="s">
        <v>161</v>
      </c>
      <c r="J104" s="60" t="s">
        <v>158</v>
      </c>
      <c r="K104" s="60">
        <v>1.6</v>
      </c>
      <c r="L104" s="256" t="s">
        <v>91</v>
      </c>
    </row>
    <row r="105" spans="1:13" x14ac:dyDescent="0.25">
      <c r="A105" s="32" t="s">
        <v>162</v>
      </c>
      <c r="C105" s="91">
        <f>$C$96</f>
        <v>0.1033452</v>
      </c>
      <c r="D105" s="35">
        <f>$K$104</f>
        <v>1.6</v>
      </c>
      <c r="E105" s="62">
        <f>$C$105*INPUT!$C$63*$D$105*($B$100+$C$100)</f>
        <v>1818.8755200000003</v>
      </c>
      <c r="F105" s="236"/>
    </row>
    <row r="106" spans="1:13" x14ac:dyDescent="0.25">
      <c r="A106" s="34" t="s">
        <v>99</v>
      </c>
      <c r="B106" s="33"/>
      <c r="C106" s="36"/>
      <c r="D106" s="36"/>
      <c r="E106" s="72">
        <f>SUM(E104:E105)</f>
        <v>3580.9111800000005</v>
      </c>
      <c r="F106" s="236"/>
    </row>
    <row r="109" spans="1:13" ht="21" x14ac:dyDescent="0.25">
      <c r="A109" s="322" t="s">
        <v>163</v>
      </c>
      <c r="B109" s="322"/>
      <c r="C109" s="322"/>
      <c r="D109" s="60"/>
      <c r="E109" s="60"/>
      <c r="F109" s="60"/>
      <c r="G109" s="60"/>
      <c r="H109" s="60"/>
      <c r="I109" s="60"/>
      <c r="J109" s="60"/>
      <c r="K109" s="60"/>
      <c r="L109" s="60"/>
      <c r="M109" s="60"/>
    </row>
    <row r="110" spans="1:13" ht="15.75" customHeight="1" x14ac:dyDescent="0.25">
      <c r="A110" s="148"/>
      <c r="B110" s="148"/>
      <c r="C110" s="148"/>
    </row>
    <row r="111" spans="1:13" ht="18" customHeight="1" x14ac:dyDescent="0.25">
      <c r="A111" s="92"/>
      <c r="B111" s="24" t="s">
        <v>164</v>
      </c>
      <c r="C111" s="25" t="s">
        <v>165</v>
      </c>
    </row>
    <row r="112" spans="1:13" ht="18" customHeight="1" x14ac:dyDescent="0.25">
      <c r="A112" s="234"/>
      <c r="B112" s="229" t="s">
        <v>166</v>
      </c>
      <c r="C112" s="230" t="s">
        <v>132</v>
      </c>
    </row>
    <row r="113" spans="1:14" x14ac:dyDescent="0.25">
      <c r="A113" s="32" t="s">
        <v>56</v>
      </c>
      <c r="B113" s="112" cm="1">
        <f t="array" ref="B113">IF(INPUT!$C$38="","", INDEX('Kummer og strømper'!C:C, MATCH(1, ('Kummer og strømper'!A:A="Vannkum") * ('Kummer og strømper'!B:B=INPUT!$C$38), 0)))</f>
        <v>1277.7688846072726</v>
      </c>
      <c r="C113" s="62">
        <f>$B$113*INPUT!$E$38</f>
        <v>2555.5377692145453</v>
      </c>
      <c r="D113" s="236"/>
    </row>
    <row r="114" spans="1:14" x14ac:dyDescent="0.25">
      <c r="A114" s="32" t="s">
        <v>58</v>
      </c>
      <c r="B114" s="112" cm="1">
        <f t="array" ref="B114">IF(INPUT!$C$39="","", INDEX('Kummer og strømper'!C:C, MATCH(1, ('Kummer og strømper'!A:A="Spillvannskum") * ('Kummer og strømper'!B:B=INPUT!$C$39), 0)))</f>
        <v>244.59743100000003</v>
      </c>
      <c r="C114" s="62">
        <f>$B$114*INPUT!$E$39</f>
        <v>489.19486200000006</v>
      </c>
      <c r="D114" s="236"/>
    </row>
    <row r="115" spans="1:14" x14ac:dyDescent="0.25">
      <c r="A115" s="32" t="s">
        <v>167</v>
      </c>
      <c r="B115" s="112" cm="1">
        <f t="array" ref="B115">IF(INPUT!$C$40="","", INDEX('Kummer og strømper'!C:C, MATCH(1, ('Kummer og strømper'!A:A="Sandfangkum") * ('Kummer og strømper'!B:B=INPUT!$C$40), 0)))</f>
        <v>206.70942500000004</v>
      </c>
      <c r="C115" s="62">
        <f>$B$115*INPUT!$E$40</f>
        <v>0</v>
      </c>
      <c r="D115" s="236"/>
    </row>
    <row r="116" spans="1:14" x14ac:dyDescent="0.25">
      <c r="A116" s="34" t="s">
        <v>99</v>
      </c>
      <c r="B116" s="36"/>
      <c r="C116" s="72">
        <f>SUM(C113:C115)</f>
        <v>3044.7326312145451</v>
      </c>
    </row>
    <row r="119" spans="1:14" ht="21" x14ac:dyDescent="0.25">
      <c r="A119" s="322" t="s">
        <v>168</v>
      </c>
      <c r="B119" s="322"/>
      <c r="C119" s="322"/>
      <c r="D119" s="60"/>
      <c r="E119" s="60"/>
      <c r="F119" s="60"/>
      <c r="G119" s="60"/>
      <c r="H119" s="60"/>
      <c r="I119" s="60"/>
      <c r="J119" s="60"/>
      <c r="K119" s="60"/>
      <c r="L119" s="60"/>
      <c r="M119" s="60"/>
    </row>
    <row r="121" spans="1:14" ht="18" customHeight="1" x14ac:dyDescent="0.25">
      <c r="A121" s="22"/>
      <c r="B121" s="254" t="s">
        <v>169</v>
      </c>
      <c r="C121" s="25" t="s">
        <v>170</v>
      </c>
      <c r="D121" s="56"/>
      <c r="F121" s="18" t="s">
        <v>171</v>
      </c>
      <c r="J121" s="53" t="s">
        <v>91</v>
      </c>
      <c r="L121" s="237"/>
    </row>
    <row r="122" spans="1:14" ht="18" customHeight="1" x14ac:dyDescent="0.25">
      <c r="A122" s="227"/>
      <c r="B122" s="235" t="s">
        <v>172</v>
      </c>
      <c r="C122" s="230" t="s">
        <v>132</v>
      </c>
      <c r="D122" s="56"/>
      <c r="F122" s="323" t="s">
        <v>173</v>
      </c>
      <c r="G122" s="323"/>
      <c r="H122" s="323"/>
      <c r="I122" s="323"/>
      <c r="J122" s="323"/>
      <c r="K122" s="323"/>
      <c r="L122" s="323"/>
      <c r="M122" s="323"/>
    </row>
    <row r="123" spans="1:14" x14ac:dyDescent="0.25">
      <c r="A123" s="32" t="s">
        <v>174</v>
      </c>
      <c r="B123" s="18">
        <v>40.6</v>
      </c>
      <c r="C123" s="268">
        <f>(($B$123*INPUT!$C$8)+($B$123*INPUT!$C$17))*$K$127</f>
        <v>24441.199999999997</v>
      </c>
      <c r="D123" s="325"/>
      <c r="E123" s="326"/>
      <c r="F123" s="155"/>
      <c r="N123" s="236"/>
    </row>
    <row r="124" spans="1:14" x14ac:dyDescent="0.25">
      <c r="A124" s="34" t="s">
        <v>99</v>
      </c>
      <c r="B124" s="65"/>
      <c r="C124" s="72">
        <f>SUM(C123:C123)</f>
        <v>24441.199999999997</v>
      </c>
    </row>
    <row r="126" spans="1:14" x14ac:dyDescent="0.25">
      <c r="A126" s="154" t="s">
        <v>175</v>
      </c>
      <c r="B126" s="267">
        <f>B123*(INPUT!C8+INPUT!C17)</f>
        <v>8120</v>
      </c>
      <c r="F126" s="96" t="s">
        <v>91</v>
      </c>
      <c r="G126" s="90"/>
      <c r="H126" s="90"/>
      <c r="I126" s="90"/>
      <c r="J126" s="90"/>
      <c r="K126" s="90"/>
      <c r="L126" s="137"/>
    </row>
    <row r="127" spans="1:14" x14ac:dyDescent="0.25">
      <c r="F127" s="32" t="s">
        <v>176</v>
      </c>
      <c r="K127" s="18">
        <v>3.01</v>
      </c>
      <c r="L127" s="139" t="s">
        <v>177</v>
      </c>
      <c r="M127" s="237"/>
    </row>
    <row r="128" spans="1:14" x14ac:dyDescent="0.25">
      <c r="F128" s="21"/>
      <c r="G128" s="60"/>
      <c r="H128" s="60"/>
      <c r="I128" s="60"/>
      <c r="J128" s="60"/>
      <c r="K128" s="60"/>
      <c r="L128" s="140"/>
    </row>
    <row r="131" spans="1:3" x14ac:dyDescent="0.25">
      <c r="A131" s="257"/>
      <c r="C131" s="31"/>
    </row>
    <row r="133" spans="1:3" x14ac:dyDescent="0.25">
      <c r="A133" s="17"/>
      <c r="B133" s="258"/>
      <c r="C133" s="56"/>
    </row>
    <row r="134" spans="1:3" x14ac:dyDescent="0.25">
      <c r="A134" s="17"/>
      <c r="B134" s="258"/>
      <c r="C134" s="56"/>
    </row>
    <row r="135" spans="1:3" x14ac:dyDescent="0.25">
      <c r="B135" s="243"/>
      <c r="C135" s="259"/>
    </row>
    <row r="136" spans="1:3" x14ac:dyDescent="0.25">
      <c r="B136" s="31"/>
      <c r="C136" s="243"/>
    </row>
    <row r="137" spans="1:3" x14ac:dyDescent="0.25">
      <c r="A137" s="17"/>
      <c r="B137" s="17"/>
      <c r="C137" s="260"/>
    </row>
    <row r="139" spans="1:3" x14ac:dyDescent="0.25">
      <c r="B139" s="259"/>
    </row>
  </sheetData>
  <sheetProtection algorithmName="SHA-512" hashValue="1GMw7Qaz+6kRt7Zq7Yfmvc+6PjCZ7DgfCkNl0xUicXeMWwPPFq2u9c8q7srmBOVkGZdRr8WI8JUn3MtVqrCgxQ==" saltValue="gVaZw/O6VOxyB0x1hukYJg==" spinCount="100000" sheet="1" selectLockedCells="1"/>
  <mergeCells count="17">
    <mergeCell ref="A61:B61"/>
    <mergeCell ref="A62:B62"/>
    <mergeCell ref="A109:C109"/>
    <mergeCell ref="F122:M122"/>
    <mergeCell ref="E1:O1"/>
    <mergeCell ref="D123:E123"/>
    <mergeCell ref="A12:B12"/>
    <mergeCell ref="A16:C16"/>
    <mergeCell ref="A119:C119"/>
    <mergeCell ref="A4:C4"/>
    <mergeCell ref="A78:C78"/>
    <mergeCell ref="A84:B84"/>
    <mergeCell ref="A85:B85"/>
    <mergeCell ref="A86:B86"/>
    <mergeCell ref="A94:C94"/>
    <mergeCell ref="A55:C55"/>
    <mergeCell ref="A60:B60"/>
  </mergeCells>
  <phoneticPr fontId="15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ACC5CE-FB9C-4022-A9B1-FE894137011B}">
  <dimension ref="A1:M131"/>
  <sheetViews>
    <sheetView topLeftCell="A2" zoomScaleNormal="100" workbookViewId="0">
      <selection activeCell="A157" sqref="A157"/>
    </sheetView>
  </sheetViews>
  <sheetFormatPr defaultColWidth="8.875" defaultRowHeight="16.5" x14ac:dyDescent="0.25"/>
  <cols>
    <col min="1" max="1" width="60.66796875" style="18" customWidth="1"/>
    <col min="2" max="2" width="19.7734375" style="18" customWidth="1"/>
    <col min="3" max="3" width="35.51171875" style="18" customWidth="1"/>
    <col min="4" max="4" width="32.6875" style="18" customWidth="1"/>
    <col min="5" max="5" width="42.640625" style="18" customWidth="1"/>
    <col min="6" max="8" width="9.68359375" style="18" customWidth="1"/>
    <col min="9" max="9" width="12.64453125" style="18" customWidth="1"/>
    <col min="10" max="10" width="15.73828125" style="18" customWidth="1"/>
    <col min="11" max="11" width="9.68359375" style="18" customWidth="1"/>
    <col min="12" max="12" width="18.6953125" style="18" customWidth="1"/>
    <col min="13" max="13" width="15.87109375" style="18" customWidth="1"/>
    <col min="14" max="16384" width="8.875" style="18"/>
  </cols>
  <sheetData>
    <row r="1" spans="1:13" ht="24.75" x14ac:dyDescent="0.35">
      <c r="A1" s="3" t="s">
        <v>178</v>
      </c>
    </row>
    <row r="2" spans="1:13" ht="15" customHeight="1" x14ac:dyDescent="0.25"/>
    <row r="3" spans="1:13" ht="15" customHeight="1" x14ac:dyDescent="0.25"/>
    <row r="4" spans="1:13" ht="21" x14ac:dyDescent="0.25">
      <c r="A4" s="322" t="s">
        <v>88</v>
      </c>
      <c r="B4" s="322"/>
      <c r="C4" s="322"/>
      <c r="D4" s="60"/>
      <c r="E4" s="60"/>
      <c r="F4" s="60"/>
      <c r="G4" s="60"/>
      <c r="H4" s="60"/>
      <c r="I4" s="60"/>
      <c r="J4" s="60"/>
      <c r="K4" s="60"/>
      <c r="L4" s="60"/>
      <c r="M4" s="60"/>
    </row>
    <row r="5" spans="1:13" ht="21" customHeight="1" x14ac:dyDescent="0.25">
      <c r="A5" s="148"/>
      <c r="B5" s="148"/>
      <c r="C5" s="148"/>
    </row>
    <row r="6" spans="1:13" x14ac:dyDescent="0.25">
      <c r="A6" s="29" t="s">
        <v>89</v>
      </c>
      <c r="B6" s="29" t="s">
        <v>90</v>
      </c>
      <c r="C6" s="122">
        <v>11.6</v>
      </c>
      <c r="D6" s="219" t="s">
        <v>91</v>
      </c>
    </row>
    <row r="7" spans="1:13" x14ac:dyDescent="0.25">
      <c r="A7" s="29"/>
      <c r="B7" s="29"/>
      <c r="C7" s="51"/>
      <c r="D7" s="52"/>
    </row>
    <row r="8" spans="1:13" x14ac:dyDescent="0.25">
      <c r="A8" s="29" t="s">
        <v>92</v>
      </c>
      <c r="B8" s="29" t="s">
        <v>31</v>
      </c>
      <c r="C8" s="122">
        <f>INPUT!C10+2*(1.5*INPUT!C9)</f>
        <v>0</v>
      </c>
      <c r="D8" s="53" t="s">
        <v>93</v>
      </c>
    </row>
    <row r="10" spans="1:13" ht="18" customHeight="1" x14ac:dyDescent="0.25">
      <c r="A10" s="22"/>
      <c r="B10" s="23"/>
      <c r="C10" s="24" t="s">
        <v>94</v>
      </c>
      <c r="D10" s="25" t="s">
        <v>95</v>
      </c>
      <c r="E10" s="56"/>
    </row>
    <row r="11" spans="1:13" ht="18" customHeight="1" x14ac:dyDescent="0.25">
      <c r="A11" s="227"/>
      <c r="B11" s="228"/>
      <c r="C11" s="229" t="s">
        <v>96</v>
      </c>
      <c r="D11" s="230" t="s">
        <v>97</v>
      </c>
      <c r="E11" s="56"/>
    </row>
    <row r="12" spans="1:13" x14ac:dyDescent="0.25">
      <c r="A12" s="327" t="s">
        <v>98</v>
      </c>
      <c r="B12" s="328"/>
      <c r="C12" s="39">
        <f>$C$8*INPUT!$C$11</f>
        <v>0</v>
      </c>
      <c r="D12" s="46">
        <f>$C$6*$C$12</f>
        <v>0</v>
      </c>
      <c r="E12" s="71"/>
    </row>
    <row r="13" spans="1:13" x14ac:dyDescent="0.25">
      <c r="A13" s="20" t="s">
        <v>99</v>
      </c>
      <c r="B13" s="41"/>
      <c r="C13" s="45"/>
      <c r="D13" s="76">
        <f>D12</f>
        <v>0</v>
      </c>
      <c r="E13" s="50"/>
    </row>
    <row r="14" spans="1:13" x14ac:dyDescent="0.25">
      <c r="A14" s="47"/>
      <c r="B14" s="47"/>
      <c r="C14" s="48"/>
      <c r="D14" s="49"/>
      <c r="E14" s="50"/>
    </row>
    <row r="15" spans="1:13" x14ac:dyDescent="0.25">
      <c r="A15" s="15"/>
      <c r="B15" s="15"/>
      <c r="C15" s="37"/>
      <c r="D15" s="38"/>
    </row>
    <row r="16" spans="1:13" ht="21" x14ac:dyDescent="0.25">
      <c r="A16" s="322" t="s">
        <v>100</v>
      </c>
      <c r="B16" s="322"/>
      <c r="C16" s="322"/>
      <c r="D16" s="68"/>
      <c r="E16" s="60"/>
      <c r="F16" s="60"/>
      <c r="G16" s="60"/>
      <c r="H16" s="60"/>
      <c r="I16" s="60"/>
      <c r="J16" s="60"/>
      <c r="K16" s="60"/>
      <c r="L16" s="60"/>
      <c r="M16" s="60"/>
    </row>
    <row r="17" spans="1:9" x14ac:dyDescent="0.25">
      <c r="A17" s="15"/>
      <c r="B17" s="15"/>
      <c r="C17" s="37"/>
      <c r="D17" s="38"/>
      <c r="F17" s="155"/>
    </row>
    <row r="18" spans="1:9" x14ac:dyDescent="0.25">
      <c r="A18" s="149"/>
      <c r="B18" s="150"/>
      <c r="C18" s="150"/>
      <c r="D18" s="247"/>
    </row>
    <row r="19" spans="1:9" x14ac:dyDescent="0.25">
      <c r="A19" s="132" t="s">
        <v>101</v>
      </c>
      <c r="B19" s="148"/>
      <c r="C19" s="148"/>
      <c r="D19" s="248"/>
    </row>
    <row r="20" spans="1:9" x14ac:dyDescent="0.25">
      <c r="A20" s="132"/>
      <c r="B20" s="15"/>
      <c r="C20" s="37"/>
      <c r="D20" s="248"/>
      <c r="F20" s="155"/>
    </row>
    <row r="21" spans="1:9" x14ac:dyDescent="0.25">
      <c r="A21" s="54" t="s">
        <v>102</v>
      </c>
      <c r="B21" s="15" t="s">
        <v>103</v>
      </c>
      <c r="C21" s="121">
        <v>2.5</v>
      </c>
      <c r="D21" s="249" t="s">
        <v>91</v>
      </c>
      <c r="I21" s="236"/>
    </row>
    <row r="22" spans="1:9" x14ac:dyDescent="0.25">
      <c r="A22" s="54"/>
      <c r="B22" s="15"/>
      <c r="C22" s="98"/>
      <c r="D22" s="250"/>
    </row>
    <row r="23" spans="1:9" x14ac:dyDescent="0.25">
      <c r="A23" s="54" t="s">
        <v>104</v>
      </c>
      <c r="B23" s="15" t="s">
        <v>105</v>
      </c>
      <c r="C23" s="121">
        <v>0.63</v>
      </c>
      <c r="D23" s="249" t="s">
        <v>91</v>
      </c>
    </row>
    <row r="24" spans="1:9" x14ac:dyDescent="0.25">
      <c r="A24" s="54"/>
      <c r="B24" s="15"/>
      <c r="C24" s="98"/>
      <c r="D24" s="250"/>
    </row>
    <row r="25" spans="1:9" ht="30" x14ac:dyDescent="0.25">
      <c r="A25" s="217" t="s">
        <v>106</v>
      </c>
      <c r="B25" s="15" t="s">
        <v>107</v>
      </c>
      <c r="C25" s="244">
        <v>3.0131999999999999</v>
      </c>
      <c r="D25" s="251" t="s">
        <v>91</v>
      </c>
      <c r="E25" s="245"/>
      <c r="F25" s="142"/>
    </row>
    <row r="26" spans="1:9" x14ac:dyDescent="0.25">
      <c r="A26" s="54"/>
      <c r="B26" s="15"/>
      <c r="C26" s="246"/>
      <c r="D26" s="251"/>
      <c r="E26" s="245"/>
      <c r="F26" s="142"/>
    </row>
    <row r="27" spans="1:9" ht="30" x14ac:dyDescent="0.25">
      <c r="A27" s="217" t="s">
        <v>108</v>
      </c>
      <c r="B27" s="15" t="s">
        <v>107</v>
      </c>
      <c r="C27" s="244">
        <v>1.92</v>
      </c>
      <c r="D27" s="251" t="s">
        <v>91</v>
      </c>
      <c r="E27" s="245"/>
      <c r="F27" s="142"/>
    </row>
    <row r="28" spans="1:9" x14ac:dyDescent="0.25">
      <c r="A28" s="54"/>
      <c r="B28" s="15"/>
      <c r="C28" s="98"/>
      <c r="D28" s="250"/>
    </row>
    <row r="29" spans="1:9" x14ac:dyDescent="0.25">
      <c r="A29" s="54" t="s">
        <v>109</v>
      </c>
      <c r="B29" s="15" t="s">
        <v>110</v>
      </c>
      <c r="C29" s="123">
        <f>0.03*1000</f>
        <v>30</v>
      </c>
      <c r="D29" s="251" t="s">
        <v>91</v>
      </c>
    </row>
    <row r="30" spans="1:9" x14ac:dyDescent="0.25">
      <c r="A30" s="54"/>
      <c r="B30" s="15"/>
      <c r="C30" s="125"/>
      <c r="D30" s="248"/>
    </row>
    <row r="31" spans="1:9" x14ac:dyDescent="0.25">
      <c r="A31" s="131" t="s">
        <v>111</v>
      </c>
      <c r="B31" s="29" t="s">
        <v>112</v>
      </c>
      <c r="C31" s="124">
        <v>0.12918150000000003</v>
      </c>
      <c r="D31" s="249" t="s">
        <v>91</v>
      </c>
    </row>
    <row r="32" spans="1:9" x14ac:dyDescent="0.25">
      <c r="A32" s="54"/>
      <c r="B32" s="15"/>
      <c r="C32" s="125"/>
      <c r="D32" s="248"/>
    </row>
    <row r="33" spans="1:5" x14ac:dyDescent="0.25">
      <c r="A33" s="54" t="s">
        <v>113</v>
      </c>
      <c r="B33" s="15" t="s">
        <v>105</v>
      </c>
      <c r="C33" s="121">
        <v>0.8</v>
      </c>
      <c r="D33" s="249" t="s">
        <v>91</v>
      </c>
    </row>
    <row r="34" spans="1:5" x14ac:dyDescent="0.25">
      <c r="A34" s="78"/>
      <c r="B34" s="79"/>
      <c r="C34" s="133"/>
      <c r="D34" s="252"/>
    </row>
    <row r="35" spans="1:5" x14ac:dyDescent="0.25">
      <c r="A35" s="15"/>
      <c r="B35" s="15"/>
      <c r="C35" s="98"/>
      <c r="D35" s="99"/>
    </row>
    <row r="36" spans="1:5" x14ac:dyDescent="0.25">
      <c r="A36" s="47" t="s">
        <v>114</v>
      </c>
      <c r="B36" s="15"/>
      <c r="C36" s="98"/>
      <c r="D36" s="99"/>
    </row>
    <row r="37" spans="1:5" x14ac:dyDescent="0.25">
      <c r="A37" s="15" t="s">
        <v>115</v>
      </c>
      <c r="B37" s="15" t="s">
        <v>116</v>
      </c>
      <c r="C37" s="121">
        <f>INPUT!C17*(INPUT!C20/1000)*'Grøft med dieseldrevet utstyr'!C8</f>
        <v>0</v>
      </c>
      <c r="D37" s="99"/>
    </row>
    <row r="38" spans="1:5" x14ac:dyDescent="0.25">
      <c r="A38" s="15" t="s">
        <v>117</v>
      </c>
      <c r="B38" s="15" t="s">
        <v>118</v>
      </c>
      <c r="C38" s="121">
        <f>C21*C37</f>
        <v>0</v>
      </c>
      <c r="D38" s="99"/>
    </row>
    <row r="39" spans="1:5" x14ac:dyDescent="0.25">
      <c r="A39" s="15"/>
      <c r="B39" s="15"/>
      <c r="C39" s="98"/>
      <c r="D39" s="99"/>
    </row>
    <row r="40" spans="1:5" x14ac:dyDescent="0.25">
      <c r="A40" s="15" t="s">
        <v>119</v>
      </c>
      <c r="B40" s="15" t="s">
        <v>120</v>
      </c>
      <c r="C40" s="126">
        <f>IF(INPUT!I8="",$C$23*$C$38*$C$25+$C$31*$C$38*INPUT!$C$64,$C$23*$C$38*$C$27+$C$31*$C$38*INPUT!$C$64)</f>
        <v>0</v>
      </c>
      <c r="D40" s="99"/>
    </row>
    <row r="41" spans="1:5" x14ac:dyDescent="0.25">
      <c r="A41" s="15"/>
      <c r="B41" s="15"/>
      <c r="C41" s="98"/>
      <c r="D41" s="99"/>
    </row>
    <row r="42" spans="1:5" x14ac:dyDescent="0.25">
      <c r="A42" s="47"/>
      <c r="B42" s="15"/>
      <c r="C42" s="98"/>
      <c r="D42" s="38"/>
    </row>
    <row r="43" spans="1:5" x14ac:dyDescent="0.25">
      <c r="A43" s="47" t="s">
        <v>121</v>
      </c>
      <c r="B43" s="15"/>
      <c r="C43" s="225" t="s">
        <v>122</v>
      </c>
      <c r="D43" s="226" t="s">
        <v>123</v>
      </c>
    </row>
    <row r="44" spans="1:5" x14ac:dyDescent="0.25">
      <c r="A44" s="15" t="s">
        <v>124</v>
      </c>
      <c r="B44" s="15" t="s">
        <v>31</v>
      </c>
      <c r="C44" s="129">
        <v>5.5</v>
      </c>
      <c r="D44" s="61">
        <v>2.5</v>
      </c>
      <c r="E44" s="261"/>
    </row>
    <row r="45" spans="1:5" x14ac:dyDescent="0.25">
      <c r="A45" s="15" t="s">
        <v>36</v>
      </c>
      <c r="B45" s="15" t="s">
        <v>31</v>
      </c>
      <c r="C45" s="130">
        <v>0.1</v>
      </c>
      <c r="D45" s="127">
        <v>0.05</v>
      </c>
    </row>
    <row r="46" spans="1:5" x14ac:dyDescent="0.25">
      <c r="A46" s="47"/>
      <c r="B46" s="15"/>
      <c r="C46" s="98"/>
      <c r="D46" s="38"/>
    </row>
    <row r="47" spans="1:5" x14ac:dyDescent="0.25">
      <c r="A47" s="15" t="s">
        <v>125</v>
      </c>
      <c r="B47" s="15" t="s">
        <v>116</v>
      </c>
      <c r="C47" s="121">
        <f>INPUT!C17*C44*C45+INPUT!C17*'Grøft med dieseldrevet utstyr'!D44*'Grøft med dieseldrevet utstyr'!D45</f>
        <v>135</v>
      </c>
      <c r="D47" s="38"/>
    </row>
    <row r="48" spans="1:5" x14ac:dyDescent="0.25">
      <c r="A48" s="15" t="s">
        <v>126</v>
      </c>
      <c r="B48" s="15" t="s">
        <v>118</v>
      </c>
      <c r="C48" s="121">
        <f>C47*C21</f>
        <v>337.5</v>
      </c>
      <c r="D48" s="38"/>
    </row>
    <row r="49" spans="1:13" x14ac:dyDescent="0.25">
      <c r="A49" s="15"/>
      <c r="B49" s="15"/>
      <c r="C49" s="125"/>
      <c r="D49" s="38"/>
    </row>
    <row r="50" spans="1:13" x14ac:dyDescent="0.25">
      <c r="A50" s="29" t="s">
        <v>127</v>
      </c>
      <c r="B50" s="29" t="s">
        <v>120</v>
      </c>
      <c r="C50" s="122">
        <f>IF(INPUT!I8="", $C$48*$C$33*$C$25+$C$29*$C$48+$C$31*$C$48*INPUT!$C$64, $C$48*$C$33*$C$27+$C$29*$C$48+$C$31*$C$48*INPUT!$C$64)</f>
        <v>11515.375125</v>
      </c>
      <c r="D50" s="44"/>
    </row>
    <row r="51" spans="1:13" x14ac:dyDescent="0.25">
      <c r="A51" s="15"/>
      <c r="B51" s="15"/>
      <c r="C51" s="37"/>
      <c r="D51" s="38"/>
    </row>
    <row r="52" spans="1:13" x14ac:dyDescent="0.25">
      <c r="A52" s="20" t="s">
        <v>99</v>
      </c>
      <c r="B52" s="19"/>
      <c r="C52" s="74">
        <f>$C$40+$C$50</f>
        <v>11515.375125</v>
      </c>
      <c r="D52" s="55"/>
      <c r="E52" s="152"/>
    </row>
    <row r="53" spans="1:13" x14ac:dyDescent="0.25">
      <c r="A53" s="15"/>
      <c r="B53" s="15"/>
      <c r="C53" s="37"/>
      <c r="D53" s="38"/>
    </row>
    <row r="55" spans="1:13" ht="21" x14ac:dyDescent="0.25">
      <c r="A55" s="322" t="s">
        <v>128</v>
      </c>
      <c r="B55" s="322"/>
      <c r="C55" s="322"/>
      <c r="D55" s="60"/>
      <c r="E55" s="60"/>
      <c r="F55" s="60"/>
      <c r="G55" s="60"/>
      <c r="H55" s="60"/>
      <c r="I55" s="60"/>
      <c r="J55" s="60"/>
      <c r="K55" s="60"/>
      <c r="L55" s="60"/>
      <c r="M55" s="60"/>
    </row>
    <row r="57" spans="1:13" x14ac:dyDescent="0.25">
      <c r="B57" s="17"/>
    </row>
    <row r="58" spans="1:13" ht="18" customHeight="1" x14ac:dyDescent="0.25">
      <c r="A58" s="22"/>
      <c r="B58" s="23"/>
      <c r="C58" s="24" t="s">
        <v>129</v>
      </c>
      <c r="D58" s="25" t="s">
        <v>130</v>
      </c>
    </row>
    <row r="59" spans="1:13" ht="18" customHeight="1" x14ac:dyDescent="0.25">
      <c r="A59" s="227"/>
      <c r="B59" s="228"/>
      <c r="C59" s="229" t="s">
        <v>131</v>
      </c>
      <c r="D59" s="230" t="s">
        <v>132</v>
      </c>
    </row>
    <row r="60" spans="1:13" x14ac:dyDescent="0.25">
      <c r="A60" s="329" t="s">
        <v>133</v>
      </c>
      <c r="B60" s="330"/>
      <c r="C60" s="59" cm="1">
        <f t="array" ref="C60">IF(AND(INPUT!$C$26&lt;&gt;"Velg materiale", INPUT!$E$26&lt;&gt;"Velg dimensjon"), INDEX('Rør spesifikasjoner'!$I$1:$I$67, MATCH(1, ('Rør spesifikasjoner'!$G$1:$G$67=INPUT!$C$26) * ('Rør spesifikasjoner'!$H$1:$H$67=INPUT!$E$26), 0)), "Materiale eller dimensjon ikke valgt")</f>
        <v>20.168700000000001</v>
      </c>
      <c r="D60" s="61">
        <f>IF(ISNUMBER(C60),C60*INPUT!G26,"")</f>
        <v>201.68700000000001</v>
      </c>
      <c r="E60" s="236"/>
    </row>
    <row r="61" spans="1:13" x14ac:dyDescent="0.25">
      <c r="A61" s="320" t="s">
        <v>134</v>
      </c>
      <c r="B61" s="321"/>
      <c r="C61" s="59" t="str" cm="1">
        <f t="array" ref="C61">IF(AND(INPUT!$C$27&lt;&gt;"Velg materiale", INPUT!$E$27&lt;&gt;"Velg dimensjon"), INDEX('Rør spesifikasjoner'!$I$1:$I$67, MATCH(1, ('Rør spesifikasjoner'!$G$1:$G$67=INPUT!$C$27) * ('Rør spesifikasjoner'!$H$1:$H$67=INPUT!$E$27), 0)), "Materiale eller dimensjon ikke valgt")</f>
        <v>Materiale eller dimensjon ikke valgt</v>
      </c>
      <c r="D61" s="61" t="str">
        <f>IF(ISNUMBER(C61),C61*INPUT!G27,"")</f>
        <v/>
      </c>
      <c r="E61" s="236"/>
    </row>
    <row r="62" spans="1:13" x14ac:dyDescent="0.25">
      <c r="A62" s="320" t="s">
        <v>135</v>
      </c>
      <c r="B62" s="321"/>
      <c r="C62" s="59" t="str" cm="1">
        <f t="array" ref="C62">IF(AND(INPUT!$C$28&lt;&gt;"Velg materiale", INPUT!$E$28&lt;&gt;"Velg dimensjon"), INDEX('Rør spesifikasjoner'!$I$1:$I$67, MATCH(1, ('Rør spesifikasjoner'!$G$1:$G$67=INPUT!$C$28) * ('Rør spesifikasjoner'!$H$1:$H$67=INPUT!$E$28), 0)), "Materiale eller dimensjon ikke valgt")</f>
        <v>Materiale eller dimensjon ikke valgt</v>
      </c>
      <c r="D62" s="61" t="str">
        <f>IF(ISNUMBER(C62),C62*INPUT!G28,"")</f>
        <v/>
      </c>
      <c r="E62" s="236"/>
    </row>
    <row r="63" spans="1:13" x14ac:dyDescent="0.25">
      <c r="A63" s="54" t="s">
        <v>136</v>
      </c>
      <c r="B63" s="15"/>
      <c r="C63" s="59" t="str" cm="1">
        <f t="array" ref="C63">IF(AND(INPUT!$C$29&lt;&gt;"Velg materiale", INPUT!$E$29&lt;&gt;"Velg dimensjon"), INDEX('Rør spesifikasjoner'!$I$1:$I$65, MATCH(1, ('Rør spesifikasjoner'!$G$1:$G$65=INPUT!$C$29) * ('Rør spesifikasjoner'!$H$1:$H$65=INPUT!$E$29), 0)), "Materiale eller dimensjon ikke valgt")</f>
        <v>Materiale eller dimensjon ikke valgt</v>
      </c>
      <c r="D63" s="61" t="str">
        <f>IF(ISNUMBER(C63),C63*INPUT!G29,"")</f>
        <v/>
      </c>
      <c r="E63" s="236"/>
    </row>
    <row r="64" spans="1:13" x14ac:dyDescent="0.25">
      <c r="A64" s="320" t="s">
        <v>137</v>
      </c>
      <c r="B64" s="321"/>
      <c r="C64" s="59" t="str" cm="1">
        <f t="array" ref="C64">IF(AND(INPUT!$C$30&lt;&gt;"Velg materiale", INPUT!$E$30&lt;&gt;"Velg dimensjon"), INDEX('Rør spesifikasjoner'!$I$1:$I$65, MATCH(1, ('Rør spesifikasjoner'!$G$1:$G$65=INPUT!$C$30) * ('Rør spesifikasjoner'!$H$1:$H$65=INPUT!$E$30), 0)), "Materiale eller dimensjon ikke valgt")</f>
        <v>Materiale eller dimensjon ikke valgt</v>
      </c>
      <c r="D64" s="61" t="str">
        <f>IF(ISNUMBER(C64),C64*INPUT!G30,"")</f>
        <v/>
      </c>
      <c r="E64" s="236"/>
    </row>
    <row r="65" spans="1:13" x14ac:dyDescent="0.25">
      <c r="A65" s="54" t="s">
        <v>138</v>
      </c>
      <c r="B65" s="15"/>
      <c r="C65" s="59" t="str" cm="1">
        <f t="array" ref="C65">IF(AND(INPUT!$C$31&lt;&gt;"Velg materiale", INPUT!$E$31&lt;&gt;"Velg dimensjon"), INDEX('Rør spesifikasjoner'!$I$1:$I$65, MATCH(1, ('Rør spesifikasjoner'!$G$1:$G$65=INPUT!$C$31) * ('Rør spesifikasjoner'!$H$1:$H$65=INPUT!$E$31), 0)), "Materiale eller dimensjon ikke valgt")</f>
        <v>Materiale eller dimensjon ikke valgt</v>
      </c>
      <c r="D65" s="61" t="str">
        <f>IF(ISNUMBER(C65),C65*INPUT!G31,"")</f>
        <v/>
      </c>
      <c r="E65" s="236"/>
    </row>
    <row r="66" spans="1:13" x14ac:dyDescent="0.25">
      <c r="A66" s="54" t="s">
        <v>139</v>
      </c>
      <c r="B66" s="15"/>
      <c r="C66" s="59" t="str" cm="1">
        <f t="array" ref="C66">IF(AND(INPUT!$C$32&lt;&gt;"Velg materiale", INPUT!$E$32&lt;&gt;"Velg dimensjon"), INDEX('Rør spesifikasjoner'!$I$1:$I$65, MATCH(1, ('Rør spesifikasjoner'!$G$1:$G$65=INPUT!$C$32) * ('Rør spesifikasjoner'!$H$1:$H$65=INPUT!$E$32), 0)), "Materiale eller dimensjon ikke valgt")</f>
        <v>Materiale eller dimensjon ikke valgt</v>
      </c>
      <c r="D66" s="61" t="str">
        <f>IF(ISNUMBER(C66),C66*INPUT!G32,"")</f>
        <v/>
      </c>
      <c r="E66" s="236"/>
    </row>
    <row r="67" spans="1:13" x14ac:dyDescent="0.25">
      <c r="A67" s="20" t="s">
        <v>99</v>
      </c>
      <c r="B67" s="19"/>
      <c r="C67" s="26"/>
      <c r="D67" s="73">
        <f>SUM(D60:D63)</f>
        <v>201.68700000000001</v>
      </c>
    </row>
    <row r="70" spans="1:13" x14ac:dyDescent="0.25">
      <c r="A70" s="18" t="s">
        <v>140</v>
      </c>
      <c r="B70" s="18" t="s">
        <v>141</v>
      </c>
      <c r="C70" s="165">
        <v>3.15E-3</v>
      </c>
      <c r="D70" s="215" t="s">
        <v>91</v>
      </c>
    </row>
    <row r="72" spans="1:13" ht="18" customHeight="1" x14ac:dyDescent="0.25">
      <c r="A72" s="22"/>
      <c r="B72" s="23"/>
      <c r="C72" s="24" t="s">
        <v>129</v>
      </c>
      <c r="D72" s="24" t="s">
        <v>142</v>
      </c>
      <c r="E72" s="25" t="s">
        <v>130</v>
      </c>
    </row>
    <row r="73" spans="1:13" ht="18" customHeight="1" x14ac:dyDescent="0.25">
      <c r="A73" s="227"/>
      <c r="B73" s="228"/>
      <c r="C73" s="229" t="s">
        <v>143</v>
      </c>
      <c r="D73" s="229" t="s">
        <v>118</v>
      </c>
      <c r="E73" s="230" t="s">
        <v>132</v>
      </c>
    </row>
    <row r="74" spans="1:13" x14ac:dyDescent="0.25">
      <c r="A74" s="32" t="s">
        <v>144</v>
      </c>
      <c r="C74" s="35">
        <f>C70</f>
        <v>3.15E-3</v>
      </c>
      <c r="D74" s="112">
        <f>$B$100*$K$103+$C$100*$K$103</f>
        <v>852.5</v>
      </c>
      <c r="E74" s="62">
        <f>C74*(D74*1000)</f>
        <v>2685.375</v>
      </c>
    </row>
    <row r="75" spans="1:13" x14ac:dyDescent="0.25">
      <c r="A75" s="20" t="s">
        <v>99</v>
      </c>
      <c r="B75" s="19"/>
      <c r="C75" s="64"/>
      <c r="D75" s="116"/>
      <c r="E75" s="73">
        <f>SUM(E71:E74)</f>
        <v>2685.375</v>
      </c>
    </row>
    <row r="78" spans="1:13" ht="21" x14ac:dyDescent="0.25">
      <c r="A78" s="322" t="s">
        <v>145</v>
      </c>
      <c r="B78" s="322"/>
      <c r="C78" s="322"/>
      <c r="D78" s="60"/>
      <c r="E78" s="60"/>
      <c r="F78" s="60"/>
      <c r="G78" s="60"/>
      <c r="H78" s="60"/>
      <c r="I78" s="60"/>
      <c r="J78" s="60"/>
      <c r="K78" s="60"/>
      <c r="L78" s="60"/>
      <c r="M78" s="60"/>
    </row>
    <row r="80" spans="1:13" x14ac:dyDescent="0.25">
      <c r="A80" s="29" t="s">
        <v>146</v>
      </c>
      <c r="B80" s="29" t="s">
        <v>112</v>
      </c>
      <c r="C80" s="124">
        <v>0.12918150000000003</v>
      </c>
      <c r="D80" s="219" t="s">
        <v>91</v>
      </c>
    </row>
    <row r="82" spans="1:13" ht="18" customHeight="1" x14ac:dyDescent="0.25">
      <c r="A82" s="22"/>
      <c r="B82" s="23"/>
      <c r="C82" s="24" t="s">
        <v>147</v>
      </c>
      <c r="D82" s="24" t="s">
        <v>148</v>
      </c>
      <c r="E82" s="25" t="s">
        <v>149</v>
      </c>
    </row>
    <row r="83" spans="1:13" ht="18" customHeight="1" x14ac:dyDescent="0.25">
      <c r="A83" s="227"/>
      <c r="B83" s="228"/>
      <c r="C83" s="229" t="s">
        <v>150</v>
      </c>
      <c r="D83" s="229" t="s">
        <v>112</v>
      </c>
      <c r="E83" s="230" t="s">
        <v>132</v>
      </c>
      <c r="H83" s="261"/>
    </row>
    <row r="84" spans="1:13" x14ac:dyDescent="0.25">
      <c r="A84" s="329" t="s">
        <v>133</v>
      </c>
      <c r="B84" s="330"/>
      <c r="C84" s="59" cm="1">
        <f t="array" ref="C84">IF(AND(INPUT!$C$26&lt;&gt;"Velg materiale", INPUT!$E$26&lt;&gt;"Velg dimensjon"), INDEX('Rør spesifikasjoner'!$K$1:$K$67, MATCH(1, ('Rør spesifikasjoner'!$G$1:$G$67=INPUT!$C$26) * ('Rør spesifikasjoner'!$H$1:$H$67=INPUT!$E$26), 0)), "Materiale eller dimensjon ikke valgt")</f>
        <v>8.51</v>
      </c>
      <c r="D84" s="27">
        <f>$C$80</f>
        <v>0.12918150000000003</v>
      </c>
      <c r="E84" s="61">
        <f>IF(ISNUMBER(C84),INPUT!$C$62*C84/1000*D84*INPUT!G26,"")</f>
        <v>0.21986691300000002</v>
      </c>
    </row>
    <row r="85" spans="1:13" x14ac:dyDescent="0.25">
      <c r="A85" s="320" t="s">
        <v>134</v>
      </c>
      <c r="B85" s="321"/>
      <c r="C85" s="59" t="str" cm="1">
        <f t="array" ref="C85">IF(AND(INPUT!$C$27&lt;&gt;"Velg materiale", INPUT!$E$27&lt;&gt;"Velg dimensjon"), INDEX('Rør spesifikasjoner'!$K$1:$K$67, MATCH(1, ('Rør spesifikasjoner'!$G$1:$G$67=INPUT!$C$27) * ('Rør spesifikasjoner'!$H$1:$H$67=INPUT!$E$27), 0)), "Materiale eller dimensjon ikke valgt")</f>
        <v>Materiale eller dimensjon ikke valgt</v>
      </c>
      <c r="D85" s="27">
        <f>$C$80</f>
        <v>0.12918150000000003</v>
      </c>
      <c r="E85" s="61" t="str">
        <f>IF(ISNUMBER(C85),INPUT!$C$62*C85/1000*D85*INPUT!G27,"")</f>
        <v/>
      </c>
    </row>
    <row r="86" spans="1:13" x14ac:dyDescent="0.25">
      <c r="A86" s="329" t="s">
        <v>135</v>
      </c>
      <c r="B86" s="330"/>
      <c r="C86" s="59" t="str" cm="1">
        <f t="array" ref="C86">IF(AND(INPUT!$C$28&lt;&gt;"Velg materiale", INPUT!$E$28&lt;&gt;"Velg dimensjon"), INDEX('Rør spesifikasjoner'!$K$1:$K$67, MATCH(1, ('Rør spesifikasjoner'!$G$1:$G$67=INPUT!$C$28) * ('Rør spesifikasjoner'!$H$1:$H$67=INPUT!$E$28), 0)), "Materiale eller dimensjon ikke valgt")</f>
        <v>Materiale eller dimensjon ikke valgt</v>
      </c>
      <c r="D86" s="27">
        <f>$C$80</f>
        <v>0.12918150000000003</v>
      </c>
      <c r="E86" s="61" t="str">
        <f>IF(ISNUMBER(C86),INPUT!$C$62*C86/1000*D86*INPUT!G28,"")</f>
        <v/>
      </c>
    </row>
    <row r="87" spans="1:13" x14ac:dyDescent="0.25">
      <c r="A87" s="54" t="s">
        <v>136</v>
      </c>
      <c r="B87" s="15"/>
      <c r="C87" s="59" t="str" cm="1">
        <f t="array" ref="C87">IF(AND(INPUT!$C$29&lt;&gt;"Velg materiale", INPUT!$E$29&lt;&gt;"Velg dimensjon"), INDEX('Rør spesifikasjoner'!$K$1:$K$67, MATCH(1, ('Rør spesifikasjoner'!$G$1:$G$67=INPUT!$C$29) * ('Rør spesifikasjoner'!$H$1:$H$67=INPUT!$E$29), 0)), "Materiale eller dimensjon ikke valgt")</f>
        <v>Materiale eller dimensjon ikke valgt</v>
      </c>
      <c r="D87" s="27">
        <f>$C$80</f>
        <v>0.12918150000000003</v>
      </c>
      <c r="E87" s="61" t="str">
        <f>IF(ISNUMBER(C87),INPUT!$C$62*C87/1000*D87*INPUT!G29,"")</f>
        <v/>
      </c>
    </row>
    <row r="88" spans="1:13" x14ac:dyDescent="0.25">
      <c r="A88" s="329" t="s">
        <v>137</v>
      </c>
      <c r="B88" s="330"/>
      <c r="C88" s="59" t="str" cm="1">
        <f t="array" ref="C88">IF(AND(INPUT!$C$30&lt;&gt;"Velg materiale", INPUT!$E$30&lt;&gt;"Velg dimensjon"), INDEX('Rør spesifikasjoner'!$K$1:$K$67, MATCH(1, ('Rør spesifikasjoner'!$G$1:$G$67=INPUT!$C$30) * ('Rør spesifikasjoner'!$H$1:$H$67=INPUT!$E$30), 0)), "Materiale eller dimensjon ikke valgt")</f>
        <v>Materiale eller dimensjon ikke valgt</v>
      </c>
      <c r="D88" s="27">
        <f t="shared" ref="D88:D90" si="0">$C$80</f>
        <v>0.12918150000000003</v>
      </c>
      <c r="E88" s="61" t="str">
        <f>IF(ISNUMBER(C88),INPUT!$C$62*C88/1000*D88*INPUT!G30,"")</f>
        <v/>
      </c>
    </row>
    <row r="89" spans="1:13" x14ac:dyDescent="0.25">
      <c r="A89" s="54" t="s">
        <v>138</v>
      </c>
      <c r="B89" s="15"/>
      <c r="C89" s="59" t="str" cm="1">
        <f t="array" ref="C89">IF(AND(INPUT!$C$31&lt;&gt;"Velg materiale", INPUT!$E$31&lt;&gt;"Velg dimensjon"), INDEX('Rør spesifikasjoner'!$K$1:$K$67, MATCH(1, ('Rør spesifikasjoner'!$G$1:$G$67=INPUT!$C$31) * ('Rør spesifikasjoner'!$H$1:$H$67=INPUT!$E$31), 0)), "Materiale eller dimensjon ikke valgt")</f>
        <v>Materiale eller dimensjon ikke valgt</v>
      </c>
      <c r="D89" s="27">
        <f t="shared" si="0"/>
        <v>0.12918150000000003</v>
      </c>
      <c r="E89" s="61" t="str">
        <f>IF(ISNUMBER(C89),INPUT!$C$62*C89/1000*D89*INPUT!G31,"")</f>
        <v/>
      </c>
    </row>
    <row r="90" spans="1:13" x14ac:dyDescent="0.25">
      <c r="A90" s="54" t="s">
        <v>139</v>
      </c>
      <c r="B90" s="15"/>
      <c r="C90" s="59" t="str" cm="1">
        <f t="array" ref="C90">IF(AND(INPUT!$C$32&lt;&gt;"Velg materiale", INPUT!$E$32&lt;&gt;"Velg dimensjon"), INDEX('Rør spesifikasjoner'!$K$1:$K$67, MATCH(1, ('Rør spesifikasjoner'!$G$1:$G$67=INPUT!$C$32) * ('Rør spesifikasjoner'!$H$1:$H$67=INPUT!$E$32), 0)), "Materiale eller dimensjon ikke valgt")</f>
        <v>Materiale eller dimensjon ikke valgt</v>
      </c>
      <c r="D90" s="27">
        <f t="shared" si="0"/>
        <v>0.12918150000000003</v>
      </c>
      <c r="E90" s="61" t="str">
        <f>IF(ISNUMBER(C90),INPUT!$C$62*C90/1000*D90*INPUT!G32,"")</f>
        <v/>
      </c>
    </row>
    <row r="91" spans="1:13" x14ac:dyDescent="0.25">
      <c r="A91" s="34" t="s">
        <v>99</v>
      </c>
      <c r="B91" s="65"/>
      <c r="C91" s="66"/>
      <c r="D91" s="66"/>
      <c r="E91" s="72">
        <f>SUM(E84:E87)</f>
        <v>0.21986691300000002</v>
      </c>
    </row>
    <row r="93" spans="1:13" ht="15.75" customHeight="1" x14ac:dyDescent="0.3">
      <c r="A93" s="156"/>
    </row>
    <row r="94" spans="1:13" ht="21" x14ac:dyDescent="0.25">
      <c r="A94" s="322" t="s">
        <v>151</v>
      </c>
      <c r="B94" s="322"/>
      <c r="C94" s="322"/>
      <c r="D94" s="60"/>
      <c r="E94" s="60"/>
      <c r="F94" s="60"/>
      <c r="G94" s="60"/>
      <c r="H94" s="60"/>
      <c r="I94" s="60"/>
      <c r="J94" s="60"/>
      <c r="K94" s="60"/>
      <c r="L94" s="60"/>
      <c r="M94" s="60"/>
    </row>
    <row r="96" spans="1:13" x14ac:dyDescent="0.25">
      <c r="A96" s="29" t="s">
        <v>152</v>
      </c>
      <c r="B96" s="29" t="s">
        <v>112</v>
      </c>
      <c r="C96" s="128">
        <f>0.0516726*2</f>
        <v>0.1033452</v>
      </c>
      <c r="D96" s="219" t="s">
        <v>91</v>
      </c>
    </row>
    <row r="97" spans="1:13" x14ac:dyDescent="0.25">
      <c r="H97" s="261"/>
    </row>
    <row r="99" spans="1:13" ht="18" customHeight="1" x14ac:dyDescent="0.25">
      <c r="A99" s="231"/>
      <c r="B99" s="232" t="s">
        <v>24</v>
      </c>
      <c r="C99" s="233" t="s">
        <v>35</v>
      </c>
    </row>
    <row r="100" spans="1:13" x14ac:dyDescent="0.25">
      <c r="A100" s="21" t="s">
        <v>153</v>
      </c>
      <c r="B100" s="69">
        <f>(INPUT!C8*INPUT!C9*INPUT!C10+INPUT!C9*0.5*INPUT!C8)*1/3</f>
        <v>0</v>
      </c>
      <c r="C100" s="70">
        <f>(INPUT!C17*INPUT!C18*INPUT!C19+INPUT!C18*0.5*INPUT!C17)*1/2</f>
        <v>550</v>
      </c>
      <c r="E100" s="18" t="s">
        <v>154</v>
      </c>
      <c r="I100" s="18" t="s">
        <v>155</v>
      </c>
    </row>
    <row r="101" spans="1:13" x14ac:dyDescent="0.25">
      <c r="B101" s="31"/>
      <c r="C101" s="31"/>
    </row>
    <row r="102" spans="1:13" ht="18" customHeight="1" x14ac:dyDescent="0.25">
      <c r="A102" s="22"/>
      <c r="B102" s="23"/>
      <c r="C102" s="24" t="s">
        <v>156</v>
      </c>
      <c r="D102" s="24" t="s">
        <v>157</v>
      </c>
      <c r="E102" s="25" t="s">
        <v>149</v>
      </c>
      <c r="I102" s="151" t="s">
        <v>157</v>
      </c>
      <c r="J102" s="153"/>
      <c r="K102" s="153"/>
      <c r="L102" s="137"/>
    </row>
    <row r="103" spans="1:13" ht="18" customHeight="1" x14ac:dyDescent="0.25">
      <c r="A103" s="227"/>
      <c r="B103" s="228"/>
      <c r="C103" s="229" t="s">
        <v>112</v>
      </c>
      <c r="D103" s="229" t="s">
        <v>158</v>
      </c>
      <c r="E103" s="230" t="s">
        <v>132</v>
      </c>
      <c r="I103" s="32" t="s">
        <v>159</v>
      </c>
      <c r="J103" s="18" t="s">
        <v>158</v>
      </c>
      <c r="K103" s="18">
        <v>1.55</v>
      </c>
      <c r="L103" s="255" t="s">
        <v>91</v>
      </c>
    </row>
    <row r="104" spans="1:13" x14ac:dyDescent="0.25">
      <c r="A104" s="32" t="s">
        <v>160</v>
      </c>
      <c r="C104" s="91">
        <f>$C$96</f>
        <v>0.1033452</v>
      </c>
      <c r="D104" s="35">
        <f>K103</f>
        <v>1.55</v>
      </c>
      <c r="E104" s="62">
        <f>$C$104*INPUT!$C$63*$D$104*($B$100+$C$100)</f>
        <v>1762.0356600000002</v>
      </c>
      <c r="F104" s="236"/>
      <c r="I104" s="21" t="s">
        <v>161</v>
      </c>
      <c r="J104" s="60" t="s">
        <v>158</v>
      </c>
      <c r="K104" s="60">
        <v>1.6</v>
      </c>
      <c r="L104" s="256" t="s">
        <v>91</v>
      </c>
    </row>
    <row r="105" spans="1:13" x14ac:dyDescent="0.25">
      <c r="A105" s="32" t="s">
        <v>162</v>
      </c>
      <c r="C105" s="91">
        <f>$C$96</f>
        <v>0.1033452</v>
      </c>
      <c r="D105" s="35">
        <f>K104</f>
        <v>1.6</v>
      </c>
      <c r="E105" s="62">
        <f>C105*INPUT!$C$63*D105*(B100+C100)</f>
        <v>1818.8755200000003</v>
      </c>
      <c r="F105" s="236"/>
    </row>
    <row r="106" spans="1:13" x14ac:dyDescent="0.25">
      <c r="A106" s="34" t="s">
        <v>99</v>
      </c>
      <c r="B106" s="33"/>
      <c r="C106" s="36"/>
      <c r="D106" s="36"/>
      <c r="E106" s="72">
        <f>SUM(E104:E105)</f>
        <v>3580.9111800000005</v>
      </c>
    </row>
    <row r="109" spans="1:13" ht="21" x14ac:dyDescent="0.25">
      <c r="A109" s="322" t="s">
        <v>163</v>
      </c>
      <c r="B109" s="322"/>
      <c r="C109" s="322"/>
      <c r="D109" s="60"/>
      <c r="E109" s="60"/>
      <c r="F109" s="60"/>
      <c r="G109" s="60"/>
      <c r="H109" s="60"/>
      <c r="I109" s="60"/>
      <c r="J109" s="60"/>
      <c r="K109" s="60"/>
      <c r="L109" s="60"/>
      <c r="M109" s="60"/>
    </row>
    <row r="110" spans="1:13" x14ac:dyDescent="0.25">
      <c r="A110" s="148"/>
      <c r="B110" s="148"/>
      <c r="C110" s="148"/>
    </row>
    <row r="111" spans="1:13" ht="18" customHeight="1" x14ac:dyDescent="0.25">
      <c r="A111" s="92"/>
      <c r="B111" s="24" t="s">
        <v>164</v>
      </c>
      <c r="C111" s="25" t="s">
        <v>165</v>
      </c>
    </row>
    <row r="112" spans="1:13" ht="18" customHeight="1" x14ac:dyDescent="0.25">
      <c r="A112" s="234"/>
      <c r="B112" s="229" t="s">
        <v>166</v>
      </c>
      <c r="C112" s="230" t="s">
        <v>132</v>
      </c>
    </row>
    <row r="113" spans="1:13" x14ac:dyDescent="0.25">
      <c r="A113" s="32" t="s">
        <v>56</v>
      </c>
      <c r="B113" s="112" cm="1">
        <f t="array" ref="B113">IF(INPUT!$C$38="","", INDEX('Kummer og strømper'!C:C, MATCH(1, ('Kummer og strømper'!A:A="Vannkum") * ('Kummer og strømper'!B:B=INPUT!$C$38), 0)))</f>
        <v>1277.7688846072726</v>
      </c>
      <c r="C113" s="62">
        <f>B113*INPUT!$E$38</f>
        <v>2555.5377692145453</v>
      </c>
      <c r="D113" s="236"/>
    </row>
    <row r="114" spans="1:13" x14ac:dyDescent="0.25">
      <c r="A114" s="32" t="s">
        <v>58</v>
      </c>
      <c r="B114" s="112" cm="1">
        <f t="array" ref="B114">IF(INPUT!$C$39="","", INDEX('Kummer og strømper'!C:C, MATCH(1, ('Kummer og strømper'!A:A="Spillvannskum") * ('Kummer og strømper'!B:B=INPUT!$C$39), 0)))</f>
        <v>244.59743100000003</v>
      </c>
      <c r="C114" s="62">
        <f>B114*INPUT!$E$39</f>
        <v>489.19486200000006</v>
      </c>
      <c r="D114" s="236"/>
    </row>
    <row r="115" spans="1:13" x14ac:dyDescent="0.25">
      <c r="A115" s="32" t="s">
        <v>167</v>
      </c>
      <c r="B115" s="112" cm="1">
        <f t="array" ref="B115">IF(INPUT!$C$40="","", INDEX('Kummer og strømper'!C:C, MATCH(1, ('Kummer og strømper'!A:A="Sandfangkum") * ('Kummer og strømper'!B:B=INPUT!$C$40), 0)))</f>
        <v>206.70942500000004</v>
      </c>
      <c r="C115" s="62">
        <f>$B$115*INPUT!$E$40</f>
        <v>0</v>
      </c>
      <c r="D115" s="236"/>
    </row>
    <row r="116" spans="1:13" x14ac:dyDescent="0.25">
      <c r="A116" s="34" t="s">
        <v>99</v>
      </c>
      <c r="B116" s="36"/>
      <c r="C116" s="72">
        <f>SUM(C113:C115)</f>
        <v>3044.7326312145451</v>
      </c>
    </row>
    <row r="118" spans="1:13" ht="15.75" customHeight="1" x14ac:dyDescent="0.3">
      <c r="A118" s="156"/>
    </row>
    <row r="119" spans="1:13" ht="21" x14ac:dyDescent="0.25">
      <c r="A119" s="322" t="s">
        <v>168</v>
      </c>
      <c r="B119" s="322"/>
      <c r="C119" s="322"/>
      <c r="D119" s="60"/>
      <c r="E119" s="60"/>
      <c r="F119" s="60"/>
      <c r="G119" s="60"/>
      <c r="H119" s="60"/>
      <c r="I119" s="60"/>
      <c r="J119" s="60"/>
      <c r="K119" s="60"/>
      <c r="L119" s="60"/>
      <c r="M119" s="60"/>
    </row>
    <row r="121" spans="1:13" x14ac:dyDescent="0.25">
      <c r="A121" s="18" t="s">
        <v>179</v>
      </c>
      <c r="B121" s="18" t="s">
        <v>180</v>
      </c>
      <c r="C121" s="53" t="s">
        <v>91</v>
      </c>
    </row>
    <row r="123" spans="1:13" x14ac:dyDescent="0.25">
      <c r="A123" s="18" t="s">
        <v>181</v>
      </c>
      <c r="F123" s="236"/>
      <c r="K123" s="241"/>
    </row>
    <row r="125" spans="1:13" ht="18" customHeight="1" x14ac:dyDescent="0.25">
      <c r="A125" s="22"/>
      <c r="B125" s="23"/>
      <c r="C125" s="24" t="s">
        <v>182</v>
      </c>
      <c r="D125" s="24" t="s">
        <v>183</v>
      </c>
      <c r="E125" s="25" t="s">
        <v>184</v>
      </c>
    </row>
    <row r="126" spans="1:13" ht="18" customHeight="1" x14ac:dyDescent="0.25">
      <c r="A126" s="227"/>
      <c r="B126" s="228"/>
      <c r="C126" s="229" t="s">
        <v>185</v>
      </c>
      <c r="D126" s="229" t="s">
        <v>186</v>
      </c>
      <c r="E126" s="230" t="s">
        <v>132</v>
      </c>
    </row>
    <row r="127" spans="1:13" x14ac:dyDescent="0.25">
      <c r="A127" s="320" t="s">
        <v>187</v>
      </c>
      <c r="B127" s="321"/>
      <c r="C127" s="94">
        <v>2.3800000000000002E-2</v>
      </c>
      <c r="D127" s="40">
        <v>4.29</v>
      </c>
      <c r="E127" s="61">
        <f>C127*D127*'Grøft med dieseldrevet utstyr'!$B$126</f>
        <v>829.06824000000006</v>
      </c>
      <c r="F127" s="236"/>
    </row>
    <row r="128" spans="1:13" x14ac:dyDescent="0.25">
      <c r="A128" s="331" t="s">
        <v>99</v>
      </c>
      <c r="B128" s="332"/>
      <c r="C128" s="42"/>
      <c r="D128" s="43"/>
      <c r="E128" s="73">
        <f>E127</f>
        <v>829.06824000000006</v>
      </c>
    </row>
    <row r="131" spans="5:5" x14ac:dyDescent="0.25">
      <c r="E131" s="243"/>
    </row>
  </sheetData>
  <sheetProtection algorithmName="SHA-512" hashValue="6jRkumnwHh3Mlr1Z4nqS6n1qNRXa9ONNzh/spJm0W8bGZTJ8/+FwiXJdE559BGwOB8ElN3279Y7JakAqzzyW3w==" saltValue="4egjT3FPL98P6bxlx9mnMQ==" spinCount="100000" sheet="1" selectLockedCells="1"/>
  <mergeCells count="18">
    <mergeCell ref="A127:B127"/>
    <mergeCell ref="A128:B128"/>
    <mergeCell ref="A119:C119"/>
    <mergeCell ref="A94:C94"/>
    <mergeCell ref="A86:B86"/>
    <mergeCell ref="A88:B88"/>
    <mergeCell ref="A16:C16"/>
    <mergeCell ref="A12:B12"/>
    <mergeCell ref="A4:C4"/>
    <mergeCell ref="A109:C109"/>
    <mergeCell ref="A85:B85"/>
    <mergeCell ref="A84:B84"/>
    <mergeCell ref="A78:C78"/>
    <mergeCell ref="A62:B62"/>
    <mergeCell ref="A61:B61"/>
    <mergeCell ref="A60:B60"/>
    <mergeCell ref="A55:C55"/>
    <mergeCell ref="A64:B64"/>
  </mergeCells>
  <phoneticPr fontId="15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AC9693-5AE4-4B3F-AD71-152A4D737F04}">
  <dimension ref="A1:W62"/>
  <sheetViews>
    <sheetView topLeftCell="A46" workbookViewId="0">
      <selection activeCell="A107" sqref="A107"/>
    </sheetView>
  </sheetViews>
  <sheetFormatPr defaultColWidth="8.875" defaultRowHeight="16.5" x14ac:dyDescent="0.25"/>
  <cols>
    <col min="1" max="1" width="37.80078125" style="18" customWidth="1"/>
    <col min="2" max="2" width="18.0234375" style="18" customWidth="1"/>
    <col min="3" max="3" width="23.67578125" style="18" customWidth="1"/>
    <col min="4" max="4" width="36.58984375" style="18" customWidth="1"/>
    <col min="5" max="5" width="26.76953125" style="18" customWidth="1"/>
    <col min="6" max="6" width="20.17578125" style="18" customWidth="1"/>
    <col min="7" max="9" width="9.68359375" style="18" customWidth="1"/>
    <col min="10" max="10" width="33.62890625" style="18" customWidth="1"/>
    <col min="11" max="11" width="9.68359375" style="18" customWidth="1"/>
    <col min="12" max="12" width="12.64453125" style="18" customWidth="1"/>
    <col min="13" max="13" width="9.68359375" style="18" customWidth="1"/>
    <col min="14" max="14" width="8.875" style="18" customWidth="1"/>
    <col min="15" max="15" width="8.875" style="18"/>
    <col min="16" max="16" width="11.1640625" style="18" customWidth="1"/>
    <col min="17" max="18" width="8.875" style="18"/>
    <col min="19" max="19" width="30.66796875" style="18" bestFit="1" customWidth="1"/>
    <col min="20" max="16384" width="8.875" style="18"/>
  </cols>
  <sheetData>
    <row r="1" spans="1:13" ht="24.75" x14ac:dyDescent="0.35">
      <c r="A1" s="3" t="s">
        <v>188</v>
      </c>
    </row>
    <row r="4" spans="1:13" ht="21" x14ac:dyDescent="0.25">
      <c r="A4" s="322" t="s">
        <v>128</v>
      </c>
      <c r="B4" s="322"/>
      <c r="C4" s="322"/>
      <c r="D4" s="60"/>
      <c r="E4" s="60"/>
      <c r="F4" s="60"/>
      <c r="G4" s="60"/>
      <c r="H4" s="60"/>
      <c r="I4" s="60"/>
      <c r="J4" s="60"/>
      <c r="K4" s="60"/>
      <c r="L4" s="60"/>
      <c r="M4" s="60"/>
    </row>
    <row r="6" spans="1:13" x14ac:dyDescent="0.25">
      <c r="B6" s="17"/>
    </row>
    <row r="7" spans="1:13" ht="18" customHeight="1" x14ac:dyDescent="0.25">
      <c r="A7" s="22"/>
      <c r="B7" s="23"/>
      <c r="C7" s="24" t="s">
        <v>129</v>
      </c>
      <c r="D7" s="25" t="s">
        <v>130</v>
      </c>
    </row>
    <row r="8" spans="1:13" ht="18" customHeight="1" x14ac:dyDescent="0.25">
      <c r="A8" s="227"/>
      <c r="B8" s="228"/>
      <c r="C8" s="229" t="s">
        <v>131</v>
      </c>
      <c r="D8" s="230" t="s">
        <v>132</v>
      </c>
    </row>
    <row r="9" spans="1:13" x14ac:dyDescent="0.25">
      <c r="A9" s="329" t="s">
        <v>133</v>
      </c>
      <c r="B9" s="330"/>
      <c r="C9" s="59">
        <f>IF(INPUT!E26="Velg rørdimensjon","Dimensjon ikke valgt",VLOOKUP(INPUT!E26,'Rør spesifikasjoner'!$P$1:$S$23,2,0))</f>
        <v>20.168700000000001</v>
      </c>
      <c r="D9" s="61">
        <f>IF(ISNUMBER(C9),C9*INPUT!G26,"")</f>
        <v>201.68700000000001</v>
      </c>
    </row>
    <row r="10" spans="1:13" x14ac:dyDescent="0.25">
      <c r="A10" s="320" t="s">
        <v>134</v>
      </c>
      <c r="B10" s="321"/>
      <c r="C10" s="59" t="e">
        <f>IF(INPUT!E27="Velg rørdimensjon","Dimensjon ikke valgt",VLOOKUP(INPUT!E27,'Rør spesifikasjoner'!$P$1:$S$23,2,0))</f>
        <v>#N/A</v>
      </c>
      <c r="D10" s="61" t="str">
        <f>IF(ISNUMBER(C10),C10*INPUT!G27,"")</f>
        <v/>
      </c>
    </row>
    <row r="11" spans="1:13" x14ac:dyDescent="0.25">
      <c r="A11" s="321" t="s">
        <v>135</v>
      </c>
      <c r="B11" s="321"/>
      <c r="C11" s="59" t="e">
        <f>IF(INPUT!E28="Velg rørdimensjon","Dimensjon ikke valgt",VLOOKUP(INPUT!E28,'Rør spesifikasjoner'!$P$1:$S$23,2,0))</f>
        <v>#N/A</v>
      </c>
      <c r="D11" s="61" t="str">
        <f>IF(ISNUMBER(C11),C11*INPUT!G28,"")</f>
        <v/>
      </c>
      <c r="E11"/>
      <c r="F11" s="201"/>
    </row>
    <row r="12" spans="1:13" x14ac:dyDescent="0.25">
      <c r="A12" s="54" t="s">
        <v>136</v>
      </c>
      <c r="B12" s="15"/>
      <c r="C12" s="59" t="e">
        <f>IF(INPUT!E29="Velg rørdimensjon","Dimensjon ikke valgt",VLOOKUP(INPUT!E29,'Rør spesifikasjoner'!$P$1:$S$23,2,0))</f>
        <v>#N/A</v>
      </c>
      <c r="D12" s="61" t="str">
        <f>IF(ISNUMBER(C12),C12*INPUT!G29,"")</f>
        <v/>
      </c>
    </row>
    <row r="13" spans="1:13" x14ac:dyDescent="0.25">
      <c r="A13" s="321" t="s">
        <v>137</v>
      </c>
      <c r="B13" s="321"/>
      <c r="C13" s="59" t="e">
        <f>IF(INPUT!E30="Velg rørdimensjon","Dimensjon ikke valgt",VLOOKUP(INPUT!E30,'Rør spesifikasjoner'!$P$1:$S$23,2,0))</f>
        <v>#N/A</v>
      </c>
      <c r="D13" s="61" t="str">
        <f>IF(ISNUMBER(C13),C13*INPUT!G30,"")</f>
        <v/>
      </c>
    </row>
    <row r="14" spans="1:13" x14ac:dyDescent="0.25">
      <c r="A14" s="54" t="s">
        <v>138</v>
      </c>
      <c r="B14" s="15"/>
      <c r="C14" s="59" t="e">
        <f>IF(INPUT!E31="Velg rørdimensjon","Dimensjon ikke valgt",VLOOKUP(INPUT!E31,'Rør spesifikasjoner'!$P$1:$S$23,2,0))</f>
        <v>#N/A</v>
      </c>
      <c r="D14" s="61" t="str">
        <f>IF(ISNUMBER(C14),C14*INPUT!G31,"")</f>
        <v/>
      </c>
    </row>
    <row r="15" spans="1:13" x14ac:dyDescent="0.25">
      <c r="A15" s="54" t="s">
        <v>139</v>
      </c>
      <c r="B15" s="15"/>
      <c r="C15" s="59" t="e">
        <f>IF(INPUT!E32="Velg rørdimensjon","Dimensjon ikke valgt",VLOOKUP(INPUT!E32,'Rør spesifikasjoner'!$P$1:$S$23,2,0))</f>
        <v>#N/A</v>
      </c>
      <c r="D15" s="61" t="str">
        <f>IF(ISNUMBER(C15),C15*INPUT!G32,"")</f>
        <v/>
      </c>
    </row>
    <row r="16" spans="1:13" x14ac:dyDescent="0.25">
      <c r="A16" s="20" t="s">
        <v>99</v>
      </c>
      <c r="B16" s="19"/>
      <c r="C16" s="26"/>
      <c r="D16" s="73">
        <f>SUM(D9:D12)</f>
        <v>201.68700000000001</v>
      </c>
    </row>
    <row r="19" spans="1:13" ht="25.9" customHeight="1" x14ac:dyDescent="0.25">
      <c r="A19" s="322" t="s">
        <v>145</v>
      </c>
      <c r="B19" s="322"/>
      <c r="C19" s="322"/>
      <c r="D19" s="60"/>
      <c r="E19" s="60"/>
      <c r="F19" s="60"/>
      <c r="G19" s="60"/>
      <c r="H19" s="60"/>
      <c r="I19" s="60"/>
      <c r="J19" s="60"/>
      <c r="K19" s="60"/>
      <c r="L19" s="60"/>
      <c r="M19" s="60"/>
    </row>
    <row r="21" spans="1:13" x14ac:dyDescent="0.25">
      <c r="A21" s="29" t="s">
        <v>146</v>
      </c>
      <c r="B21" s="29" t="s">
        <v>112</v>
      </c>
      <c r="C21" s="30">
        <v>0.12918150000000003</v>
      </c>
      <c r="D21" s="219" t="s">
        <v>91</v>
      </c>
    </row>
    <row r="23" spans="1:13" ht="18" customHeight="1" x14ac:dyDescent="0.25">
      <c r="A23" s="22"/>
      <c r="B23" s="23"/>
      <c r="C23" s="24" t="s">
        <v>147</v>
      </c>
      <c r="D23" s="24" t="s">
        <v>148</v>
      </c>
      <c r="E23" s="25" t="s">
        <v>149</v>
      </c>
      <c r="G23" s="142" t="s">
        <v>44</v>
      </c>
    </row>
    <row r="24" spans="1:13" ht="18" customHeight="1" x14ac:dyDescent="0.25">
      <c r="A24" s="227"/>
      <c r="B24" s="228"/>
      <c r="C24" s="229" t="s">
        <v>150</v>
      </c>
      <c r="D24" s="229" t="s">
        <v>112</v>
      </c>
      <c r="E24" s="230" t="s">
        <v>132</v>
      </c>
    </row>
    <row r="25" spans="1:13" x14ac:dyDescent="0.25">
      <c r="A25" s="329" t="s">
        <v>133</v>
      </c>
      <c r="B25" s="330"/>
      <c r="C25" s="59">
        <f>IF(INPUT!E26="Velg rørdimensjon","Dimensjon ikke valgt",VLOOKUP(INPUT!E26,'Rør spesifikasjoner'!$P$1:$S$23,4,0))</f>
        <v>8.51</v>
      </c>
      <c r="D25" s="27">
        <f>$C$21</f>
        <v>0.12918150000000003</v>
      </c>
      <c r="E25" s="61">
        <f>IF(ISNUMBER(C25),INPUT!$C$62*((C25*INPUT!G26)/1000)*D25,"")</f>
        <v>0.21986691300000005</v>
      </c>
      <c r="F25" s="261"/>
    </row>
    <row r="26" spans="1:13" x14ac:dyDescent="0.25">
      <c r="A26" s="320" t="s">
        <v>134</v>
      </c>
      <c r="B26" s="321"/>
      <c r="C26" s="59" t="e">
        <f>IF(INPUT!E27="Velg rørdimensjon","Dimensjon ikke valgt",VLOOKUP(INPUT!E27,'Rør spesifikasjoner'!$P$1:$S$23,4,0))</f>
        <v>#N/A</v>
      </c>
      <c r="D26" s="27">
        <f t="shared" ref="D26:D31" si="0">$C$21</f>
        <v>0.12918150000000003</v>
      </c>
      <c r="E26" s="61" t="str">
        <f>IF(ISNUMBER(C26),INPUT!$C$62*((C26*INPUT!G27)/1000)*D26,"")</f>
        <v/>
      </c>
    </row>
    <row r="27" spans="1:13" x14ac:dyDescent="0.25">
      <c r="A27" s="320" t="s">
        <v>135</v>
      </c>
      <c r="B27" s="321"/>
      <c r="C27" s="59" t="e">
        <f>IF(INPUT!E28="Velg rørdimensjon","Dimensjon ikke valgt",VLOOKUP(INPUT!E28,'Rør spesifikasjoner'!$P$1:$S$23,4,0))</f>
        <v>#N/A</v>
      </c>
      <c r="D27" s="27">
        <f t="shared" si="0"/>
        <v>0.12918150000000003</v>
      </c>
      <c r="E27" s="61" t="str">
        <f>IF(ISNUMBER(C27),INPUT!$C$62*((C27*INPUT!G28)/1000)*D27,"")</f>
        <v/>
      </c>
    </row>
    <row r="28" spans="1:13" x14ac:dyDescent="0.25">
      <c r="A28" s="54" t="s">
        <v>136</v>
      </c>
      <c r="B28" s="15"/>
      <c r="C28" s="59" t="e">
        <f>IF(INPUT!E29="Velg rørdimensjon","Dimensjon ikke valgt",VLOOKUP(INPUT!E29,'Rør spesifikasjoner'!$P$1:$S$23,4,0))</f>
        <v>#N/A</v>
      </c>
      <c r="D28" s="27">
        <f t="shared" si="0"/>
        <v>0.12918150000000003</v>
      </c>
      <c r="E28" s="61" t="str">
        <f>IF(ISNUMBER(C28),INPUT!$C$62*((C28*INPUT!G29)/1000)*D28,"")</f>
        <v/>
      </c>
    </row>
    <row r="29" spans="1:13" x14ac:dyDescent="0.25">
      <c r="A29" s="54" t="s">
        <v>137</v>
      </c>
      <c r="B29" s="15"/>
      <c r="C29" s="59" t="e">
        <f>IF(INPUT!E30="Velg rørdimensjon","Dimensjon ikke valgt",VLOOKUP(INPUT!E30,'Rør spesifikasjoner'!$P$1:$S$23,4,0))</f>
        <v>#N/A</v>
      </c>
      <c r="D29" s="27">
        <f t="shared" si="0"/>
        <v>0.12918150000000003</v>
      </c>
      <c r="E29" s="61" t="str">
        <f>IF(ISNUMBER(C29),INPUT!$C$62*((C29*INPUT!G30)/1000)*D29,"")</f>
        <v/>
      </c>
    </row>
    <row r="30" spans="1:13" x14ac:dyDescent="0.25">
      <c r="A30" s="54" t="s">
        <v>138</v>
      </c>
      <c r="B30" s="15"/>
      <c r="C30" s="59" t="e">
        <f>IF(INPUT!E31="Velg rørdimensjon","Dimensjon ikke valgt",VLOOKUP(INPUT!E31,'Rør spesifikasjoner'!$P$1:$S$23,4,0))</f>
        <v>#N/A</v>
      </c>
      <c r="D30" s="27">
        <f t="shared" si="0"/>
        <v>0.12918150000000003</v>
      </c>
      <c r="E30" s="61" t="str">
        <f>IF(ISNUMBER(C30),INPUT!$C$62*((C30*INPUT!G31)/1000)*D30,"")</f>
        <v/>
      </c>
    </row>
    <row r="31" spans="1:13" x14ac:dyDescent="0.25">
      <c r="A31" s="54" t="s">
        <v>139</v>
      </c>
      <c r="B31" s="15"/>
      <c r="C31" s="59" t="e">
        <f>IF(INPUT!E32="Velg rørdimensjon","Dimensjon ikke valgt",VLOOKUP(INPUT!E32,'Rør spesifikasjoner'!$P$1:$S$23,4,0))</f>
        <v>#N/A</v>
      </c>
      <c r="D31" s="27">
        <f t="shared" si="0"/>
        <v>0.12918150000000003</v>
      </c>
      <c r="E31" s="61" t="str">
        <f>IF(ISNUMBER(C31),INPUT!$C$62*((C31*INPUT!G32)/1000)*D31,"")</f>
        <v/>
      </c>
    </row>
    <row r="32" spans="1:13" x14ac:dyDescent="0.25">
      <c r="A32" s="34" t="s">
        <v>99</v>
      </c>
      <c r="B32" s="65"/>
      <c r="C32" s="66"/>
      <c r="D32" s="66"/>
      <c r="E32" s="72">
        <f>SUM(E25:E28)</f>
        <v>0.21986691300000005</v>
      </c>
    </row>
    <row r="36" spans="1:21" ht="21" x14ac:dyDescent="0.25">
      <c r="A36" s="322" t="s">
        <v>168</v>
      </c>
      <c r="B36" s="322"/>
      <c r="C36" s="322"/>
      <c r="D36" s="60"/>
      <c r="E36" s="60"/>
      <c r="F36" s="60"/>
      <c r="G36" s="60"/>
      <c r="H36" s="60"/>
      <c r="I36" s="60"/>
      <c r="J36" s="157"/>
      <c r="K36" s="158"/>
      <c r="L36" s="159"/>
      <c r="M36" s="60"/>
      <c r="O36" s="155"/>
    </row>
    <row r="37" spans="1:21" x14ac:dyDescent="0.25">
      <c r="A37" s="148"/>
      <c r="B37" s="148"/>
      <c r="C37" s="148"/>
      <c r="J37" s="160"/>
      <c r="K37" s="29"/>
      <c r="L37" s="161"/>
      <c r="O37" s="155"/>
    </row>
    <row r="38" spans="1:21" x14ac:dyDescent="0.25">
      <c r="A38" s="17" t="s">
        <v>189</v>
      </c>
      <c r="J38" s="17" t="s">
        <v>190</v>
      </c>
    </row>
    <row r="39" spans="1:21" x14ac:dyDescent="0.25">
      <c r="A39" s="17"/>
      <c r="J39" s="160" t="s">
        <v>191</v>
      </c>
      <c r="K39" s="29"/>
      <c r="L39" s="161"/>
      <c r="O39" s="155"/>
    </row>
    <row r="40" spans="1:21" x14ac:dyDescent="0.25">
      <c r="A40" s="18" t="s">
        <v>192</v>
      </c>
      <c r="J40" s="29" t="s">
        <v>193</v>
      </c>
      <c r="K40" s="29" t="s">
        <v>194</v>
      </c>
      <c r="L40" s="166">
        <v>5.5</v>
      </c>
    </row>
    <row r="41" spans="1:21" x14ac:dyDescent="0.25">
      <c r="J41" s="29" t="s">
        <v>195</v>
      </c>
      <c r="K41" s="29" t="s">
        <v>194</v>
      </c>
      <c r="L41" s="166">
        <v>10</v>
      </c>
    </row>
    <row r="42" spans="1:21" ht="18" customHeight="1" x14ac:dyDescent="0.25">
      <c r="A42" s="22"/>
      <c r="B42" s="23"/>
      <c r="C42" s="24" t="s">
        <v>196</v>
      </c>
      <c r="D42" s="25" t="s">
        <v>197</v>
      </c>
      <c r="E42" s="56"/>
      <c r="H42" s="155"/>
      <c r="J42" s="29" t="s">
        <v>198</v>
      </c>
      <c r="K42" s="29" t="s">
        <v>194</v>
      </c>
      <c r="L42" s="166">
        <v>30</v>
      </c>
    </row>
    <row r="43" spans="1:21" ht="18" customHeight="1" x14ac:dyDescent="0.25">
      <c r="A43" s="227"/>
      <c r="B43" s="228"/>
      <c r="C43" s="229" t="s">
        <v>199</v>
      </c>
      <c r="D43" s="230" t="s">
        <v>132</v>
      </c>
      <c r="E43" s="56"/>
      <c r="L43" s="163"/>
    </row>
    <row r="44" spans="1:21" x14ac:dyDescent="0.25">
      <c r="A44" s="320" t="s">
        <v>200</v>
      </c>
      <c r="B44" s="321"/>
      <c r="C44" s="59">
        <f>$L$51</f>
        <v>45.651666666666664</v>
      </c>
      <c r="D44" s="61">
        <f>C44*16*(INPUT!$C$46)</f>
        <v>0</v>
      </c>
      <c r="E44" s="265"/>
      <c r="J44" s="17" t="s">
        <v>201</v>
      </c>
      <c r="K44" s="18" t="s">
        <v>194</v>
      </c>
      <c r="L44" s="164">
        <f>AVERAGE(L40:L42)</f>
        <v>15.166666666666666</v>
      </c>
    </row>
    <row r="45" spans="1:21" x14ac:dyDescent="0.25">
      <c r="A45" s="54" t="s">
        <v>202</v>
      </c>
      <c r="B45" s="15"/>
      <c r="C45" s="59">
        <f t="shared" ref="C45:C46" si="1">$L$51</f>
        <v>45.651666666666664</v>
      </c>
      <c r="D45" s="61">
        <f>C45*40*(INPUT!$C$47)</f>
        <v>1826.0666666666666</v>
      </c>
      <c r="E45" s="265"/>
      <c r="J45" s="17"/>
    </row>
    <row r="46" spans="1:21" x14ac:dyDescent="0.25">
      <c r="A46" s="54" t="s">
        <v>203</v>
      </c>
      <c r="B46" s="15"/>
      <c r="C46" s="59">
        <f t="shared" si="1"/>
        <v>45.651666666666664</v>
      </c>
      <c r="D46" s="61">
        <f>C46*16*(INPUT!$C$48)</f>
        <v>730.42666666666662</v>
      </c>
      <c r="E46" s="265"/>
      <c r="J46" s="17" t="s">
        <v>190</v>
      </c>
    </row>
    <row r="47" spans="1:21" x14ac:dyDescent="0.25">
      <c r="A47" s="331" t="s">
        <v>99</v>
      </c>
      <c r="B47" s="332"/>
      <c r="C47" s="42"/>
      <c r="D47" s="73">
        <f>SUM(D44:D46)</f>
        <v>2556.4933333333333</v>
      </c>
      <c r="E47" s="67"/>
      <c r="J47" s="29" t="s">
        <v>193</v>
      </c>
      <c r="K47" s="29" t="s">
        <v>204</v>
      </c>
      <c r="L47" s="166">
        <f>L40*$O$54</f>
        <v>16.555</v>
      </c>
      <c r="T47" s="29"/>
      <c r="U47" s="161"/>
    </row>
    <row r="48" spans="1:21" x14ac:dyDescent="0.25">
      <c r="A48" s="47"/>
      <c r="B48" s="47"/>
      <c r="C48" s="119"/>
      <c r="D48" s="120"/>
      <c r="E48" s="67"/>
      <c r="J48" s="29" t="s">
        <v>195</v>
      </c>
      <c r="K48" s="29" t="s">
        <v>204</v>
      </c>
      <c r="L48" s="166">
        <f>L41*$O$54</f>
        <v>30.099999999999998</v>
      </c>
      <c r="T48" s="29"/>
      <c r="U48" s="162"/>
    </row>
    <row r="49" spans="1:23" x14ac:dyDescent="0.25">
      <c r="A49" s="47"/>
      <c r="B49" s="47"/>
      <c r="C49" s="119"/>
      <c r="D49" s="120"/>
      <c r="E49" s="67"/>
      <c r="J49" s="29" t="s">
        <v>198</v>
      </c>
      <c r="K49" s="29" t="s">
        <v>204</v>
      </c>
      <c r="L49" s="166">
        <f>L42*$O$54</f>
        <v>90.3</v>
      </c>
      <c r="T49" s="29"/>
      <c r="U49" s="162"/>
    </row>
    <row r="50" spans="1:23" x14ac:dyDescent="0.25">
      <c r="A50" s="17" t="s">
        <v>205</v>
      </c>
      <c r="J50" s="29"/>
      <c r="K50" s="29"/>
      <c r="L50" s="162"/>
      <c r="T50" s="29"/>
      <c r="U50" s="162"/>
    </row>
    <row r="51" spans="1:23" x14ac:dyDescent="0.25">
      <c r="J51" s="29" t="s">
        <v>201</v>
      </c>
      <c r="K51" s="29" t="s">
        <v>204</v>
      </c>
      <c r="L51" s="166">
        <f>AVERAGE(L47:L49)</f>
        <v>45.651666666666664</v>
      </c>
      <c r="T51" s="29"/>
      <c r="U51" s="162"/>
    </row>
    <row r="52" spans="1:23" x14ac:dyDescent="0.25">
      <c r="A52" s="18" t="s">
        <v>206</v>
      </c>
      <c r="B52" s="18" t="s">
        <v>185</v>
      </c>
      <c r="C52" s="165">
        <v>2.3800000000000002E-2</v>
      </c>
      <c r="D52" s="271" t="s">
        <v>91</v>
      </c>
      <c r="S52" s="29"/>
      <c r="T52" s="29"/>
      <c r="U52" s="162"/>
    </row>
    <row r="53" spans="1:23" x14ac:dyDescent="0.25">
      <c r="A53" s="18" t="s">
        <v>207</v>
      </c>
      <c r="B53" s="18" t="s">
        <v>208</v>
      </c>
      <c r="C53" s="165">
        <v>4.29</v>
      </c>
      <c r="D53" s="271" t="s">
        <v>91</v>
      </c>
      <c r="E53" s="236"/>
      <c r="F53" s="241"/>
      <c r="J53" s="96" t="s">
        <v>91</v>
      </c>
      <c r="K53" s="90"/>
      <c r="L53" s="90"/>
      <c r="M53" s="90"/>
      <c r="N53" s="90"/>
      <c r="O53" s="90"/>
      <c r="P53" s="137"/>
    </row>
    <row r="54" spans="1:23" x14ac:dyDescent="0.25">
      <c r="C54" s="53"/>
      <c r="J54" s="32" t="s">
        <v>176</v>
      </c>
      <c r="O54" s="18">
        <v>3.01</v>
      </c>
      <c r="P54" s="139" t="s">
        <v>177</v>
      </c>
      <c r="Q54" s="236"/>
      <c r="W54" s="241"/>
    </row>
    <row r="55" spans="1:23" x14ac:dyDescent="0.25">
      <c r="A55" s="18" t="s">
        <v>181</v>
      </c>
      <c r="J55" s="21"/>
      <c r="K55" s="60"/>
      <c r="L55" s="60"/>
      <c r="M55" s="60"/>
      <c r="N55" s="60"/>
      <c r="O55" s="60"/>
      <c r="P55" s="140"/>
    </row>
    <row r="56" spans="1:23" x14ac:dyDescent="0.25">
      <c r="J56" s="95"/>
    </row>
    <row r="57" spans="1:23" ht="18" customHeight="1" x14ac:dyDescent="0.25">
      <c r="A57" s="22"/>
      <c r="B57" s="23"/>
      <c r="C57" s="24" t="s">
        <v>209</v>
      </c>
      <c r="D57" s="24" t="s">
        <v>169</v>
      </c>
      <c r="E57" s="24" t="s">
        <v>183</v>
      </c>
      <c r="F57" s="25" t="s">
        <v>184</v>
      </c>
      <c r="J57" s="242"/>
    </row>
    <row r="58" spans="1:23" ht="18" customHeight="1" x14ac:dyDescent="0.25">
      <c r="A58" s="227"/>
      <c r="B58" s="228"/>
      <c r="C58" s="229" t="s">
        <v>210</v>
      </c>
      <c r="D58" s="229" t="s">
        <v>211</v>
      </c>
      <c r="E58" s="229" t="s">
        <v>212</v>
      </c>
      <c r="F58" s="230" t="s">
        <v>132</v>
      </c>
      <c r="J58" s="236"/>
    </row>
    <row r="59" spans="1:23" x14ac:dyDescent="0.25">
      <c r="A59" s="320" t="s">
        <v>200</v>
      </c>
      <c r="B59" s="321"/>
      <c r="C59" s="59">
        <f>INPUT!$C$46*16</f>
        <v>0</v>
      </c>
      <c r="D59" s="40">
        <f>$L$44*C59</f>
        <v>0</v>
      </c>
      <c r="E59" s="117">
        <f>$C$53*D59</f>
        <v>0</v>
      </c>
      <c r="F59" s="62">
        <f>E59*$C$52</f>
        <v>0</v>
      </c>
      <c r="G59" s="236"/>
    </row>
    <row r="60" spans="1:23" x14ac:dyDescent="0.25">
      <c r="A60" s="54" t="s">
        <v>202</v>
      </c>
      <c r="B60" s="15"/>
      <c r="C60" s="59">
        <f>INPUT!$C$47*40</f>
        <v>40</v>
      </c>
      <c r="D60" s="40">
        <f>$L$44*C60</f>
        <v>606.66666666666663</v>
      </c>
      <c r="E60" s="117">
        <f t="shared" ref="E60:E61" si="2">$C$53*D60</f>
        <v>2602.6</v>
      </c>
      <c r="F60" s="62">
        <f>E60*$C$52</f>
        <v>61.941880000000005</v>
      </c>
      <c r="G60" s="236"/>
    </row>
    <row r="61" spans="1:23" x14ac:dyDescent="0.25">
      <c r="A61" s="54" t="s">
        <v>203</v>
      </c>
      <c r="B61" s="15"/>
      <c r="C61" s="59">
        <f>INPUT!$C$48*16</f>
        <v>16</v>
      </c>
      <c r="D61" s="40">
        <f>$L$44*C61</f>
        <v>242.66666666666666</v>
      </c>
      <c r="E61" s="117">
        <f t="shared" si="2"/>
        <v>1041.04</v>
      </c>
      <c r="F61" s="62">
        <f>E61*$C$52</f>
        <v>24.776752000000002</v>
      </c>
      <c r="G61" s="236"/>
    </row>
    <row r="62" spans="1:23" x14ac:dyDescent="0.25">
      <c r="A62" s="331" t="s">
        <v>99</v>
      </c>
      <c r="B62" s="332"/>
      <c r="C62" s="42"/>
      <c r="D62" s="116"/>
      <c r="E62" s="118"/>
      <c r="F62" s="115">
        <f>SUM(F59:F61)</f>
        <v>86.718632000000014</v>
      </c>
    </row>
  </sheetData>
  <sheetProtection algorithmName="SHA-512" hashValue="NhJT5UbgDku1iDNVmeg3cFyCAT4HgRIIVXmizq3XdYrrbllv00nSXpRyM3z6RJXJJR9hLk24TibeoS16atS+4w==" saltValue="pi0yTCU/DFv86LgdbQRi2w==" spinCount="100000" sheet="1" selectLockedCells="1"/>
  <mergeCells count="14">
    <mergeCell ref="A59:B59"/>
    <mergeCell ref="A62:B62"/>
    <mergeCell ref="A36:C36"/>
    <mergeCell ref="A44:B44"/>
    <mergeCell ref="A47:B47"/>
    <mergeCell ref="A4:C4"/>
    <mergeCell ref="A9:B9"/>
    <mergeCell ref="A10:B10"/>
    <mergeCell ref="A27:B27"/>
    <mergeCell ref="A26:B26"/>
    <mergeCell ref="A25:B25"/>
    <mergeCell ref="A19:C19"/>
    <mergeCell ref="A11:B11"/>
    <mergeCell ref="A13:B13"/>
  </mergeCells>
  <phoneticPr fontId="15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869C2E-DF32-47EF-B3A5-3EED10BE9235}">
  <dimension ref="A1:N23"/>
  <sheetViews>
    <sheetView workbookViewId="0">
      <selection activeCell="A54" sqref="A54"/>
    </sheetView>
  </sheetViews>
  <sheetFormatPr defaultColWidth="9.14453125" defaultRowHeight="16.5" x14ac:dyDescent="0.25"/>
  <cols>
    <col min="1" max="1" width="31.74609375" style="18" customWidth="1"/>
    <col min="2" max="2" width="15.73828125" style="18" customWidth="1"/>
    <col min="3" max="3" width="35.109375" style="18" customWidth="1"/>
    <col min="4" max="4" width="27.7109375" style="18" customWidth="1"/>
    <col min="5" max="5" width="26.76953125" style="18" customWidth="1"/>
    <col min="6" max="6" width="26.76953125" style="18" bestFit="1" customWidth="1"/>
    <col min="7" max="7" width="26.76953125" style="18" customWidth="1"/>
    <col min="8" max="9" width="26.76953125" style="18" bestFit="1" customWidth="1"/>
    <col min="10" max="10" width="9.68359375" style="18" customWidth="1"/>
    <col min="11" max="11" width="31.74609375" style="18" customWidth="1"/>
    <col min="12" max="12" width="9.68359375" style="18" customWidth="1"/>
    <col min="13" max="13" width="12.64453125" style="18" customWidth="1"/>
    <col min="14" max="14" width="9.68359375" style="18" customWidth="1"/>
    <col min="15" max="17" width="9.14453125" style="18"/>
    <col min="18" max="18" width="9.28125" style="18" customWidth="1"/>
    <col min="19" max="16384" width="9.14453125" style="18"/>
  </cols>
  <sheetData>
    <row r="1" spans="1:14" ht="24.75" x14ac:dyDescent="0.35">
      <c r="A1" s="3" t="s">
        <v>213</v>
      </c>
      <c r="E1" s="236"/>
    </row>
    <row r="4" spans="1:14" ht="21" x14ac:dyDescent="0.25">
      <c r="A4" s="322" t="s">
        <v>214</v>
      </c>
      <c r="B4" s="322"/>
      <c r="C4" s="322"/>
      <c r="D4" s="60"/>
      <c r="E4" s="60"/>
      <c r="F4" s="60"/>
      <c r="G4" s="60"/>
      <c r="H4" s="60"/>
      <c r="I4" s="60"/>
      <c r="J4" s="60"/>
      <c r="K4" s="60"/>
      <c r="L4" s="60"/>
      <c r="M4" s="60"/>
      <c r="N4" s="60"/>
    </row>
    <row r="5" spans="1:14" ht="15" customHeight="1" x14ac:dyDescent="0.25">
      <c r="A5" s="148"/>
      <c r="B5" s="148"/>
      <c r="C5" s="148"/>
    </row>
    <row r="6" spans="1:14" ht="18" customHeight="1" x14ac:dyDescent="0.25">
      <c r="A6" s="22"/>
      <c r="B6" s="23"/>
      <c r="C6" s="24" t="s">
        <v>129</v>
      </c>
      <c r="D6" s="24" t="s">
        <v>215</v>
      </c>
      <c r="E6" s="24" t="s">
        <v>129</v>
      </c>
      <c r="F6" s="24" t="s">
        <v>216</v>
      </c>
      <c r="G6" s="24" t="s">
        <v>217</v>
      </c>
      <c r="H6" s="24" t="s">
        <v>218</v>
      </c>
      <c r="I6" s="25" t="s">
        <v>130</v>
      </c>
    </row>
    <row r="7" spans="1:14" ht="18" customHeight="1" x14ac:dyDescent="0.25">
      <c r="A7" s="227"/>
      <c r="B7" s="228"/>
      <c r="C7" s="229" t="s">
        <v>143</v>
      </c>
      <c r="D7" s="229" t="s">
        <v>150</v>
      </c>
      <c r="E7" s="229" t="s">
        <v>219</v>
      </c>
      <c r="F7" s="229" t="s">
        <v>31</v>
      </c>
      <c r="G7" s="229" t="s">
        <v>37</v>
      </c>
      <c r="H7" s="229" t="s">
        <v>116</v>
      </c>
      <c r="I7" s="230" t="s">
        <v>132</v>
      </c>
    </row>
    <row r="8" spans="1:14" ht="15.75" customHeight="1" x14ac:dyDescent="0.25">
      <c r="A8" s="329" t="s">
        <v>68</v>
      </c>
      <c r="B8" s="330"/>
      <c r="C8" s="103" t="str" cm="1">
        <f t="array" ref="C8">IF(AND(INPUT!$C$54&lt;&gt;"Velg materiale", INPUT!$E$54&lt;&gt;"Velg dimensjon"), IF(INPUT!$C$54="Glassfiber", INDEX('Kummer og strømper'!$C$28:$C$47, MATCH(1, ('Kummer og strømper'!$A$28:$A$67="Glassfiber") * ('Kummer og strømper'!$B$28:$B$67=INPUT!$E$54), 0)), ""), "Materiale eller dimensjon ikke valgt")</f>
        <v>Materiale eller dimensjon ikke valgt</v>
      </c>
      <c r="D8" s="103" t="str" cm="1">
        <f t="array" ref="D8">IF(AND(INPUT!$C$54="Glassfiber", INPUT!$E$54&lt;&gt;"Velg dimensjon"), INDEX('Kummer og strømper'!$D$28:$D$47, MATCH(1, ('Kummer og strømper'!$A$28:$A$67="Glassfiber") * ('Kummer og strømper'!$B$28:$B$67=INPUT!$E$54), 0)), "")</f>
        <v/>
      </c>
      <c r="E8" s="110" t="str" cm="1">
        <f t="array" ref="E8">IF(AND(INPUT!$C$54&lt;&gt;"Velg materiale", INPUT!$E$54&lt;&gt;"Velg dimensjon"),IF(INPUT!$C$54="Filt", INDEX('Kummer og strømper'!$E$48:$E$67, MATCH(1, ('Kummer og strømper'!$A$48:$A$67="Filt") * ('Kummer og strømper'!$B$48:$B$67=INPUT!$E$54), 0)), ""),"")</f>
        <v/>
      </c>
      <c r="F8" s="103" t="str">
        <f>IF(INPUT!$C$54="Filt", VALUE(INPUT!$E$54)/1000, "")</f>
        <v/>
      </c>
      <c r="G8" s="59" t="str">
        <f>IF(AND(INPUT!$C$54="Filt", INPUT!$E$54&lt;&gt;"Velg dimensjon"), INDEX('Kummer og strømper'!$G$48:$G$67, MATCH(INPUT!$E$54, 'Kummer og strømper'!$B$48:$B$67, 0)), "")</f>
        <v/>
      </c>
      <c r="H8" s="105" t="str">
        <f>IF(ISNUMBER($G$8), PI()*$F$8*INPUT!$G$54*($G$8/1000), "")</f>
        <v/>
      </c>
      <c r="I8" s="268" t="str">
        <f>IF(ISNUMBER($E$8), $E$8*$H$8, IF(ISNUMBER($C$8), $C$8*$D$8*INPUT!$G$54, ""))</f>
        <v/>
      </c>
      <c r="J8" s="264"/>
    </row>
    <row r="9" spans="1:14" ht="15.75" customHeight="1" x14ac:dyDescent="0.25">
      <c r="A9" s="320" t="s">
        <v>70</v>
      </c>
      <c r="B9" s="321"/>
      <c r="C9" s="103" t="str" cm="1">
        <f t="array" ref="C9">IF(AND(INPUT!$C$55&lt;&gt;"Velg materiale", INPUT!$E$55&lt;&gt;"Velg dimensjon"), IF(INPUT!$C$55="Glassfiber", INDEX('Kummer og strømper'!$C$28:$C$47, MATCH(1, ('Kummer og strømper'!$A$28:$A$67="Glassfiber") * ('Kummer og strømper'!$B$28:$B$67=INPUT!$E$55), 0)), ""), "Materiale eller dimensjon ikke valgt")</f>
        <v>Materiale eller dimensjon ikke valgt</v>
      </c>
      <c r="D9" s="103" t="str" cm="1">
        <f t="array" ref="D9">IF(AND(INPUT!$C$55="Glassfiber", INPUT!$E$55&lt;&gt;"Velg dimensjon"), INDEX('Kummer og strømper'!$D$28:$D$47, MATCH(1, ('Kummer og strømper'!$A$28:$A$67="Glassfiber") * ('Kummer og strømper'!$B$28:$B$67=INPUT!$E$55), 0)), "")</f>
        <v/>
      </c>
      <c r="E9" s="110" t="str" cm="1">
        <f t="array" ref="E9">IF(AND(INPUT!$C$55&lt;&gt;"Velg materiale", INPUT!$E$55&lt;&gt;"Velg dimensjon"),IF(INPUT!$C$55="Filt", INDEX('Kummer og strømper'!$E$48:$E$67, MATCH(1, ('Kummer og strømper'!$A$48:$A$67="Filt") * ('Kummer og strømper'!$B$48:$B$67=INPUT!$E$55), 0)), ""),"")</f>
        <v/>
      </c>
      <c r="F9" s="103" t="str">
        <f>IF(INPUT!$C$55="Filt", VALUE(INPUT!$E$55)/1000, "")</f>
        <v/>
      </c>
      <c r="G9" s="59" t="str">
        <f>IF(AND(INPUT!$C$55="Filt", INPUT!$E$55&lt;&gt;"Velg dimensjon"), INDEX('Kummer og strømper'!$G$48:$G$67, MATCH(INPUT!$E$55, 'Kummer og strømper'!$B$48:$B$67, 0)), "")</f>
        <v/>
      </c>
      <c r="H9" s="105" t="str">
        <f>IF(ISNUMBER($G$9), PI()*$F$9*INPUT!$G$54*($G$9/1000), "")</f>
        <v/>
      </c>
      <c r="I9" s="269" t="str">
        <f>IF(ISNUMBER($E$9), $E$9*$H$9, IF(ISNUMBER($C$9), $C$9*$D$9*INPUT!$G$55, ""))</f>
        <v/>
      </c>
    </row>
    <row r="10" spans="1:14" ht="15.75" customHeight="1" x14ac:dyDescent="0.25">
      <c r="A10" s="333" t="s">
        <v>72</v>
      </c>
      <c r="B10" s="334"/>
      <c r="C10" s="108" t="str" cm="1">
        <f t="array" ref="C10">IF(AND(INPUT!$C$56&lt;&gt;"Velg materiale", INPUT!$E$56&lt;&gt;"Velg dimensjon"), IF(INPUT!$C$56="Glassfiber", INDEX('Kummer og strømper'!$C$28:$C$47, MATCH(1, ('Kummer og strømper'!$A$28:$A$67="Glassfiber") * ('Kummer og strømper'!$B$28:$B$67=INPUT!$E$56), 0)), ""), "Materiale eller dimensjon ikke valgt")</f>
        <v>Materiale eller dimensjon ikke valgt</v>
      </c>
      <c r="D10" s="108" t="str" cm="1">
        <f t="array" ref="D10">IF(AND(INPUT!$C$56="Glassfiber", INPUT!$E$56&lt;&gt;"Velg dimensjon"), INDEX('Kummer og strømper'!$D$28:$D$47, MATCH(1, ('Kummer og strømper'!$A$28:$A$67="Glassfiber") * ('Kummer og strømper'!$B$28:$B$67=INPUT!$E$56), 0)), "")</f>
        <v/>
      </c>
      <c r="E10" s="111" t="str" cm="1">
        <f t="array" ref="E10">IF(AND(INPUT!$C$56&lt;&gt;"Velg materiale", INPUT!$E$56&lt;&gt;"Velg dimensjon"),IF(INPUT!$C$56="Filt", INDEX('Kummer og strømper'!$E$48:$E$67, MATCH(1, ('Kummer og strømper'!$A$48:$A$67="Filt") * ('Kummer og strømper'!$B$48:$B$67=INPUT!$E$56), 0)), ""),"")</f>
        <v/>
      </c>
      <c r="F10" s="108" t="str">
        <f>IF(INPUT!$C$56="Filt", VALUE(INPUT!$E$56)/1000, "")</f>
        <v/>
      </c>
      <c r="G10" s="63" t="str">
        <f>IF(AND(INPUT!$C$56="Filt", INPUT!$E$56&lt;&gt;"Velg dimensjon"), INDEX('Kummer og strømper'!$G$48:$G$67, MATCH(INPUT!$E$56, 'Kummer og strømper'!$B$48:$B$67, 0)), "")</f>
        <v/>
      </c>
      <c r="H10" s="107" t="str">
        <f>IF(ISNUMBER($G$10), PI()*$F$10*INPUT!$G$54*($G$10/1000), "")</f>
        <v/>
      </c>
      <c r="I10" s="270" t="str">
        <f>IF(ISNUMBER($E$10), $E$10*$H$10, IF(ISNUMBER($C$10), $C$10*$D$10*INPUT!$G$56, ""))</f>
        <v/>
      </c>
    </row>
    <row r="11" spans="1:14" x14ac:dyDescent="0.25">
      <c r="A11" s="20" t="s">
        <v>99</v>
      </c>
      <c r="B11" s="19"/>
      <c r="C11" s="26"/>
      <c r="D11" s="26"/>
      <c r="E11" s="26"/>
      <c r="F11" s="26"/>
      <c r="G11" s="26"/>
      <c r="H11" s="26"/>
      <c r="I11" s="109">
        <f>SUM(I8:I10)</f>
        <v>0</v>
      </c>
    </row>
    <row r="12" spans="1:14" x14ac:dyDescent="0.25">
      <c r="A12" s="47"/>
      <c r="B12" s="15"/>
      <c r="C12" s="37"/>
      <c r="D12" s="37"/>
      <c r="E12" s="37"/>
      <c r="F12" s="37"/>
      <c r="G12" s="37"/>
      <c r="H12" s="37"/>
      <c r="I12" s="106"/>
    </row>
    <row r="14" spans="1:14" ht="21" x14ac:dyDescent="0.25">
      <c r="A14" s="322" t="s">
        <v>220</v>
      </c>
      <c r="B14" s="322"/>
      <c r="C14" s="322"/>
      <c r="D14" s="60"/>
      <c r="E14" s="60"/>
      <c r="F14" s="60"/>
      <c r="G14" s="60"/>
      <c r="H14" s="60"/>
      <c r="I14" s="60"/>
      <c r="J14" s="60"/>
      <c r="K14" s="60"/>
      <c r="L14" s="60"/>
      <c r="M14" s="60"/>
      <c r="N14" s="60"/>
    </row>
    <row r="16" spans="1:14" x14ac:dyDescent="0.25">
      <c r="A16" s="29" t="s">
        <v>146</v>
      </c>
      <c r="B16" s="29" t="s">
        <v>112</v>
      </c>
      <c r="C16" s="30">
        <v>0.12918150000000003</v>
      </c>
      <c r="D16" s="219" t="s">
        <v>91</v>
      </c>
    </row>
    <row r="18" spans="1:7" ht="18" customHeight="1" x14ac:dyDescent="0.25">
      <c r="A18" s="22"/>
      <c r="B18" s="23"/>
      <c r="C18" s="24" t="s">
        <v>215</v>
      </c>
      <c r="D18" s="24" t="s">
        <v>221</v>
      </c>
      <c r="E18" s="24" t="s">
        <v>148</v>
      </c>
      <c r="F18" s="25" t="s">
        <v>149</v>
      </c>
    </row>
    <row r="19" spans="1:7" ht="18" customHeight="1" x14ac:dyDescent="0.25">
      <c r="A19" s="227"/>
      <c r="B19" s="228"/>
      <c r="C19" s="229" t="s">
        <v>150</v>
      </c>
      <c r="D19" s="229" t="s">
        <v>222</v>
      </c>
      <c r="E19" s="229" t="s">
        <v>112</v>
      </c>
      <c r="F19" s="230" t="s">
        <v>132</v>
      </c>
    </row>
    <row r="20" spans="1:7" x14ac:dyDescent="0.25">
      <c r="A20" s="329" t="s">
        <v>68</v>
      </c>
      <c r="B20" s="330"/>
      <c r="C20" s="112" t="str">
        <f>IF(AND(INPUT!$C$54="Glassfiber", INPUT!$E$54&lt;&gt;"Velg dimensjon"), INDEX('Kummer og strømper'!$D$28:$D$47, MATCH(INPUT!$E$54, 'Kummer og strømper'!$B$28:$B$47, 0)), "")</f>
        <v/>
      </c>
      <c r="D20" s="112" t="str">
        <f>IF(INPUT!$C$54="Glassfiber", $C$20 * INPUT!$G$54, IF(INPUT!$C$54="Filt", INDEX('Kummer og strømper'!$F$47:$F$67, MATCH(INPUT!$E$54, 'Kummer og strømper'!$B$47:$B$67, 0)) * $H$8, ""))</f>
        <v/>
      </c>
      <c r="E20" s="113">
        <f>$C$16</f>
        <v>0.12918150000000003</v>
      </c>
      <c r="F20" s="62" t="str">
        <f>IF(ISNUMBER(D20), ($D$20/1000)*$E$20*INPUT!$C$62, "")</f>
        <v/>
      </c>
      <c r="G20" s="264"/>
    </row>
    <row r="21" spans="1:7" x14ac:dyDescent="0.25">
      <c r="A21" s="320" t="s">
        <v>70</v>
      </c>
      <c r="B21" s="321"/>
      <c r="C21" s="112" t="str">
        <f>IF(AND(INPUT!$C$55="Glassfiber", INPUT!$E$55&lt;&gt;"Velg dimensjon"), INDEX('Kummer og strømper'!$D$28:$D$47, MATCH(INPUT!$E$55, 'Kummer og strømper'!$B$28:$B$47, 0)), "")</f>
        <v/>
      </c>
      <c r="D21" s="112" t="str">
        <f>IF(INPUT!$C$55="Glassfiber", $C$21 * INPUT!$G$55, IF(INPUT!$C$55="Filt", INDEX('Kummer og strømper'!$F$47:$F$67, MATCH(INPUT!$E$55, 'Kummer og strømper'!$B$47:$B$67, 0)) * $H$9, ""))</f>
        <v/>
      </c>
      <c r="E21" s="113">
        <f>$C$16</f>
        <v>0.12918150000000003</v>
      </c>
      <c r="F21" s="62" t="str">
        <f>IF(ISNUMBER(D21), ($D$21/1000)*$E$21*INPUT!$C$62, "")</f>
        <v/>
      </c>
    </row>
    <row r="22" spans="1:7" x14ac:dyDescent="0.25">
      <c r="A22" s="333" t="s">
        <v>72</v>
      </c>
      <c r="B22" s="334"/>
      <c r="C22" s="69" t="str">
        <f>IF(AND(INPUT!$C$56="Glassfiber", INPUT!$E$56&lt;&gt;"Velg dimensjon"), INDEX('Kummer og strømper'!$D$28:$D$47, MATCH(INPUT!$E$56, 'Kummer og strømper'!$B$28:$B$47, 0)), "")</f>
        <v/>
      </c>
      <c r="D22" s="69" t="str">
        <f>IF(INPUT!$C$56="Glassfiber", $C$22 * INPUT!$G$56, IF(INPUT!$C$56="Filt", INDEX('Kummer og strømper'!$F$47:$F$67, MATCH(INPUT!$E$56, 'Kummer og strømper'!$B$47:$B$67, 0)) * $H$10, ""))</f>
        <v/>
      </c>
      <c r="E22" s="114">
        <f>$C$16</f>
        <v>0.12918150000000003</v>
      </c>
      <c r="F22" s="62" t="str">
        <f>IF(ISNUMBER(D22),($D$22/1000)*$E$22*INPUT!$C$62,"")</f>
        <v/>
      </c>
    </row>
    <row r="23" spans="1:7" x14ac:dyDescent="0.25">
      <c r="A23" s="331" t="s">
        <v>99</v>
      </c>
      <c r="B23" s="332"/>
      <c r="C23" s="36"/>
      <c r="D23" s="36"/>
      <c r="E23" s="36"/>
      <c r="F23" s="115">
        <f>SUM(F20:F22)</f>
        <v>0</v>
      </c>
    </row>
  </sheetData>
  <sheetProtection algorithmName="SHA-512" hashValue="gXNdS5fGKfo7eKdfrHpnf84Odp7gAEi5Wt0zXjd97Wa5JMQw4VKY32DNvyHz2pd1Qjt7B77BvG3C13e+Ka5WTA==" saltValue="pE071wtMxm3olCNyzY14mA==" spinCount="100000" sheet="1" objects="1" scenarios="1" selectLockedCells="1"/>
  <mergeCells count="9">
    <mergeCell ref="A4:C4"/>
    <mergeCell ref="A14:C14"/>
    <mergeCell ref="A23:B23"/>
    <mergeCell ref="A21:B21"/>
    <mergeCell ref="A8:B8"/>
    <mergeCell ref="A9:B9"/>
    <mergeCell ref="A10:B10"/>
    <mergeCell ref="A20:B20"/>
    <mergeCell ref="A22:B2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90FEFE-9C94-4CAC-B56C-013F27D25C68}">
  <dimension ref="A1:Z78"/>
  <sheetViews>
    <sheetView zoomScaleNormal="100" workbookViewId="0">
      <selection activeCell="M2" sqref="M2"/>
    </sheetView>
  </sheetViews>
  <sheetFormatPr defaultColWidth="9.14453125" defaultRowHeight="15" x14ac:dyDescent="0.2"/>
  <cols>
    <col min="1" max="1" width="23" style="1" bestFit="1" customWidth="1"/>
    <col min="2" max="2" width="6.72265625" style="1" customWidth="1"/>
    <col min="3" max="3" width="27.3046875" style="1" bestFit="1" customWidth="1"/>
    <col min="4" max="4" width="19.90625" style="1" customWidth="1"/>
    <col min="5" max="5" width="16.140625" style="1" customWidth="1"/>
    <col min="6" max="6" width="9.28125" style="1" customWidth="1"/>
    <col min="7" max="7" width="13.44921875" style="1" customWidth="1"/>
    <col min="8" max="8" width="15.46875" style="1" bestFit="1" customWidth="1"/>
    <col min="9" max="9" width="17.75390625" style="1" customWidth="1"/>
    <col min="10" max="11" width="14.125" style="1" customWidth="1"/>
    <col min="12" max="12" width="11.703125" style="1" customWidth="1"/>
    <col min="13" max="13" width="52.05859375" style="288" customWidth="1"/>
    <col min="14" max="14" width="29.99609375" style="1" customWidth="1"/>
    <col min="15" max="15" width="13.71875" style="1" customWidth="1"/>
    <col min="16" max="16" width="18.6953125" style="1" customWidth="1"/>
    <col min="17" max="17" width="11.56640625" style="1" customWidth="1"/>
    <col min="18" max="18" width="13.71875" style="1" customWidth="1"/>
    <col min="19" max="19" width="9.14453125" style="1"/>
    <col min="20" max="20" width="13.71875" style="1" customWidth="1"/>
    <col min="21" max="21" width="9.14453125" style="1"/>
    <col min="22" max="22" width="14.125" style="1" customWidth="1"/>
    <col min="23" max="16384" width="9.14453125" style="1"/>
  </cols>
  <sheetData>
    <row r="1" spans="1:26" ht="24.75" x14ac:dyDescent="0.2">
      <c r="A1" s="168" t="s">
        <v>223</v>
      </c>
      <c r="B1" s="4"/>
      <c r="C1" s="4" t="s">
        <v>224</v>
      </c>
      <c r="D1" s="169" t="s">
        <v>39</v>
      </c>
      <c r="E1" s="191" t="s">
        <v>225</v>
      </c>
      <c r="F1" s="179"/>
      <c r="G1" s="169" t="s">
        <v>39</v>
      </c>
      <c r="H1" s="170" t="s">
        <v>226</v>
      </c>
      <c r="I1" s="335" t="s">
        <v>227</v>
      </c>
      <c r="J1" s="335"/>
      <c r="K1" s="335" t="s">
        <v>215</v>
      </c>
      <c r="L1" s="336"/>
      <c r="M1" s="303"/>
      <c r="N1" s="208" t="s">
        <v>228</v>
      </c>
      <c r="O1" s="169" t="s">
        <v>39</v>
      </c>
      <c r="P1" s="170" t="s">
        <v>226</v>
      </c>
      <c r="Q1" s="335" t="s">
        <v>227</v>
      </c>
      <c r="R1" s="335"/>
      <c r="S1" s="335" t="s">
        <v>215</v>
      </c>
      <c r="T1" s="336"/>
      <c r="U1" s="4"/>
      <c r="V1" s="4"/>
      <c r="W1" s="4"/>
      <c r="X1" s="4"/>
      <c r="Y1" s="4"/>
      <c r="Z1" s="4"/>
    </row>
    <row r="2" spans="1:26" x14ac:dyDescent="0.2">
      <c r="A2" s="4"/>
      <c r="B2" s="4"/>
      <c r="C2" s="263"/>
      <c r="D2" s="184" t="s">
        <v>48</v>
      </c>
      <c r="E2" s="290">
        <v>2.37</v>
      </c>
      <c r="F2" s="181"/>
      <c r="G2" s="184" t="s">
        <v>48</v>
      </c>
      <c r="H2" s="185">
        <v>110</v>
      </c>
      <c r="I2" s="186">
        <f>$E$2*K2</f>
        <v>7.5366000000000009</v>
      </c>
      <c r="J2" s="187" t="s">
        <v>229</v>
      </c>
      <c r="K2" s="188">
        <v>3.18</v>
      </c>
      <c r="L2" s="189" t="s">
        <v>150</v>
      </c>
      <c r="M2" s="303" t="s">
        <v>230</v>
      </c>
      <c r="O2" s="80" t="s">
        <v>48</v>
      </c>
      <c r="P2" s="13">
        <v>110</v>
      </c>
      <c r="Q2" s="12">
        <f>$E$2*S2</f>
        <v>7.5366000000000009</v>
      </c>
      <c r="R2" s="181" t="s">
        <v>229</v>
      </c>
      <c r="S2" s="180">
        <v>3.18</v>
      </c>
      <c r="T2" s="88" t="s">
        <v>150</v>
      </c>
      <c r="U2" s="4"/>
      <c r="V2" s="4"/>
      <c r="W2" s="4"/>
      <c r="X2" s="4"/>
      <c r="Y2" s="4"/>
      <c r="Z2" s="4"/>
    </row>
    <row r="3" spans="1:26" x14ac:dyDescent="0.2">
      <c r="A3" s="4"/>
      <c r="B3" s="4"/>
      <c r="C3" s="4"/>
      <c r="D3" s="80" t="s">
        <v>231</v>
      </c>
      <c r="E3" s="207">
        <v>2.2999999999999998</v>
      </c>
      <c r="F3" s="183"/>
      <c r="G3" s="80" t="s">
        <v>48</v>
      </c>
      <c r="H3" s="134">
        <v>125</v>
      </c>
      <c r="I3" s="12">
        <f t="shared" ref="I3:I6" si="0">$E$2*K3</f>
        <v>9.6933000000000007</v>
      </c>
      <c r="J3" s="181" t="s">
        <v>229</v>
      </c>
      <c r="K3" s="180">
        <v>4.09</v>
      </c>
      <c r="L3" s="88" t="s">
        <v>150</v>
      </c>
      <c r="M3" s="304" t="s">
        <v>232</v>
      </c>
      <c r="O3" s="80" t="s">
        <v>48</v>
      </c>
      <c r="P3" s="134">
        <v>125</v>
      </c>
      <c r="Q3" s="12">
        <f t="shared" ref="Q3:Q6" si="1">$E$2*S3</f>
        <v>9.6933000000000007</v>
      </c>
      <c r="R3" s="181" t="s">
        <v>229</v>
      </c>
      <c r="S3" s="180">
        <v>4.09</v>
      </c>
      <c r="T3" s="88" t="s">
        <v>150</v>
      </c>
      <c r="U3" s="4"/>
      <c r="V3" s="4"/>
      <c r="W3" s="4"/>
      <c r="X3" s="4"/>
      <c r="Y3" s="4"/>
      <c r="Z3" s="4"/>
    </row>
    <row r="4" spans="1:26" x14ac:dyDescent="0.2">
      <c r="A4" s="5"/>
      <c r="B4" s="4"/>
      <c r="D4" s="80" t="s">
        <v>51</v>
      </c>
      <c r="E4" s="206">
        <v>2.33</v>
      </c>
      <c r="F4" s="181"/>
      <c r="G4" s="80" t="s">
        <v>48</v>
      </c>
      <c r="H4" s="13">
        <v>140</v>
      </c>
      <c r="I4" s="12">
        <f t="shared" si="0"/>
        <v>12.158100000000001</v>
      </c>
      <c r="J4" s="181" t="s">
        <v>229</v>
      </c>
      <c r="K4" s="180">
        <v>5.13</v>
      </c>
      <c r="L4" s="88" t="s">
        <v>150</v>
      </c>
      <c r="M4" s="305" t="s">
        <v>233</v>
      </c>
      <c r="O4" s="80" t="s">
        <v>48</v>
      </c>
      <c r="P4" s="13">
        <v>140</v>
      </c>
      <c r="Q4" s="12">
        <f t="shared" si="1"/>
        <v>12.158100000000001</v>
      </c>
      <c r="R4" s="181" t="s">
        <v>229</v>
      </c>
      <c r="S4" s="180">
        <v>5.13</v>
      </c>
      <c r="T4" s="88" t="s">
        <v>150</v>
      </c>
      <c r="U4" s="4"/>
      <c r="V4" s="4"/>
      <c r="W4" s="4"/>
      <c r="X4" s="4"/>
      <c r="Y4" s="4"/>
      <c r="Z4" s="4"/>
    </row>
    <row r="5" spans="1:26" x14ac:dyDescent="0.2">
      <c r="A5" s="4"/>
      <c r="B5" s="4"/>
      <c r="C5" s="4"/>
      <c r="D5" s="80" t="s">
        <v>43</v>
      </c>
      <c r="E5" s="206">
        <v>0.12</v>
      </c>
      <c r="F5" s="181"/>
      <c r="G5" s="80" t="s">
        <v>48</v>
      </c>
      <c r="H5" s="134">
        <v>160</v>
      </c>
      <c r="I5" s="12">
        <f t="shared" si="0"/>
        <v>15.973800000000001</v>
      </c>
      <c r="J5" s="181" t="s">
        <v>229</v>
      </c>
      <c r="K5" s="180">
        <v>6.74</v>
      </c>
      <c r="L5" s="88" t="s">
        <v>150</v>
      </c>
      <c r="O5" s="80" t="s">
        <v>48</v>
      </c>
      <c r="P5" s="134">
        <v>160</v>
      </c>
      <c r="Q5" s="12">
        <f t="shared" si="1"/>
        <v>15.973800000000001</v>
      </c>
      <c r="R5" s="181" t="s">
        <v>229</v>
      </c>
      <c r="S5" s="180">
        <v>6.74</v>
      </c>
      <c r="T5" s="88" t="s">
        <v>150</v>
      </c>
      <c r="U5" s="4"/>
      <c r="V5" s="4"/>
      <c r="W5" s="4"/>
      <c r="X5" s="4"/>
      <c r="Y5" s="4"/>
      <c r="Z5" s="4"/>
    </row>
    <row r="6" spans="1:26" x14ac:dyDescent="0.2">
      <c r="A6" s="4"/>
      <c r="B6" s="4"/>
      <c r="C6" s="4"/>
      <c r="D6" s="80" t="s">
        <v>234</v>
      </c>
      <c r="E6" s="206">
        <v>6.32</v>
      </c>
      <c r="F6" s="181"/>
      <c r="G6" s="80" t="s">
        <v>48</v>
      </c>
      <c r="H6" s="13">
        <v>180</v>
      </c>
      <c r="I6" s="12">
        <f t="shared" si="0"/>
        <v>20.168700000000001</v>
      </c>
      <c r="J6" s="181" t="s">
        <v>229</v>
      </c>
      <c r="K6" s="180">
        <v>8.51</v>
      </c>
      <c r="L6" s="88" t="s">
        <v>150</v>
      </c>
      <c r="O6" s="80" t="s">
        <v>48</v>
      </c>
      <c r="P6" s="13">
        <v>180</v>
      </c>
      <c r="Q6" s="12">
        <f t="shared" si="1"/>
        <v>20.168700000000001</v>
      </c>
      <c r="R6" s="181" t="s">
        <v>229</v>
      </c>
      <c r="S6" s="180">
        <v>8.51</v>
      </c>
      <c r="T6" s="88" t="s">
        <v>150</v>
      </c>
      <c r="U6" s="4"/>
      <c r="V6" s="4"/>
      <c r="W6" s="4"/>
      <c r="X6" s="4"/>
      <c r="Y6" s="4"/>
      <c r="Z6" s="4"/>
    </row>
    <row r="7" spans="1:26" x14ac:dyDescent="0.2">
      <c r="A7" s="4"/>
      <c r="B7" s="4"/>
      <c r="C7" s="4"/>
      <c r="D7" s="80" t="s">
        <v>235</v>
      </c>
      <c r="E7" s="206">
        <v>1.59</v>
      </c>
      <c r="F7" s="181"/>
      <c r="G7" s="80" t="s">
        <v>48</v>
      </c>
      <c r="H7" s="134">
        <v>200</v>
      </c>
      <c r="I7" s="12">
        <f t="shared" ref="I7:I17" si="2">$E$2*K7</f>
        <v>24.885000000000002</v>
      </c>
      <c r="J7" s="181" t="s">
        <v>229</v>
      </c>
      <c r="K7" s="180">
        <v>10.5</v>
      </c>
      <c r="L7" s="88" t="s">
        <v>150</v>
      </c>
      <c r="O7" s="80" t="s">
        <v>48</v>
      </c>
      <c r="P7" s="134">
        <v>200</v>
      </c>
      <c r="Q7" s="12">
        <f t="shared" ref="Q7:Q20" si="3">$E$2*S7</f>
        <v>24.885000000000002</v>
      </c>
      <c r="R7" s="181" t="s">
        <v>229</v>
      </c>
      <c r="S7" s="180">
        <v>10.5</v>
      </c>
      <c r="T7" s="88" t="s">
        <v>150</v>
      </c>
      <c r="U7" s="4"/>
      <c r="V7" s="4"/>
      <c r="W7" s="4"/>
      <c r="X7" s="4"/>
      <c r="Y7" s="4"/>
      <c r="Z7" s="4"/>
    </row>
    <row r="8" spans="1:26" x14ac:dyDescent="0.2">
      <c r="A8" s="238"/>
      <c r="B8" s="4"/>
      <c r="C8" s="238"/>
      <c r="D8" s="80" t="s">
        <v>46</v>
      </c>
      <c r="E8" s="206">
        <v>5.13</v>
      </c>
      <c r="F8" s="181"/>
      <c r="G8" s="80" t="s">
        <v>48</v>
      </c>
      <c r="H8" s="182">
        <v>225</v>
      </c>
      <c r="I8" s="12">
        <f t="shared" si="2"/>
        <v>31.521000000000004</v>
      </c>
      <c r="J8" s="181" t="s">
        <v>229</v>
      </c>
      <c r="K8" s="180">
        <v>13.3</v>
      </c>
      <c r="L8" s="88" t="s">
        <v>150</v>
      </c>
      <c r="O8" s="80" t="s">
        <v>48</v>
      </c>
      <c r="P8" s="182">
        <v>225</v>
      </c>
      <c r="Q8" s="12">
        <f t="shared" si="3"/>
        <v>31.521000000000004</v>
      </c>
      <c r="R8" s="181" t="s">
        <v>229</v>
      </c>
      <c r="S8" s="180">
        <v>13.3</v>
      </c>
      <c r="T8" s="88" t="s">
        <v>150</v>
      </c>
      <c r="U8" s="4"/>
    </row>
    <row r="9" spans="1:26" x14ac:dyDescent="0.2">
      <c r="A9" s="238"/>
      <c r="B9" s="4"/>
      <c r="C9" s="238"/>
      <c r="D9" s="81" t="s">
        <v>236</v>
      </c>
      <c r="E9" s="200">
        <v>2.11</v>
      </c>
      <c r="F9" s="181"/>
      <c r="G9" s="80" t="s">
        <v>48</v>
      </c>
      <c r="H9" s="182">
        <v>250</v>
      </c>
      <c r="I9" s="12">
        <f t="shared" si="2"/>
        <v>38.631</v>
      </c>
      <c r="J9" s="181" t="s">
        <v>229</v>
      </c>
      <c r="K9" s="180">
        <v>16.3</v>
      </c>
      <c r="L9" s="88" t="s">
        <v>150</v>
      </c>
      <c r="O9" s="80" t="s">
        <v>48</v>
      </c>
      <c r="P9" s="182">
        <v>250</v>
      </c>
      <c r="Q9" s="12">
        <f t="shared" si="3"/>
        <v>38.631</v>
      </c>
      <c r="R9" s="181" t="s">
        <v>229</v>
      </c>
      <c r="S9" s="180">
        <v>16.3</v>
      </c>
      <c r="T9" s="88" t="s">
        <v>150</v>
      </c>
      <c r="U9" s="4"/>
    </row>
    <row r="10" spans="1:26" x14ac:dyDescent="0.2">
      <c r="A10" s="238"/>
      <c r="B10" s="4"/>
      <c r="C10" s="238"/>
      <c r="D10" s="4"/>
      <c r="E10" s="181"/>
      <c r="F10" s="181"/>
      <c r="G10" s="80" t="s">
        <v>48</v>
      </c>
      <c r="H10" s="182">
        <v>280</v>
      </c>
      <c r="I10" s="12">
        <f t="shared" si="2"/>
        <v>48.347999999999999</v>
      </c>
      <c r="J10" s="181" t="s">
        <v>229</v>
      </c>
      <c r="K10" s="180">
        <v>20.399999999999999</v>
      </c>
      <c r="L10" s="88" t="s">
        <v>150</v>
      </c>
      <c r="O10" s="80" t="s">
        <v>48</v>
      </c>
      <c r="P10" s="182">
        <v>280</v>
      </c>
      <c r="Q10" s="12">
        <f t="shared" si="3"/>
        <v>48.347999999999999</v>
      </c>
      <c r="R10" s="181" t="s">
        <v>229</v>
      </c>
      <c r="S10" s="180">
        <v>20.399999999999999</v>
      </c>
      <c r="T10" s="88" t="s">
        <v>150</v>
      </c>
      <c r="U10" s="4"/>
    </row>
    <row r="11" spans="1:26" x14ac:dyDescent="0.2">
      <c r="A11" s="238"/>
      <c r="B11" s="4"/>
      <c r="C11" s="238"/>
      <c r="D11" s="4"/>
      <c r="E11" s="181"/>
      <c r="F11" s="181"/>
      <c r="G11" s="80" t="s">
        <v>48</v>
      </c>
      <c r="H11" s="182">
        <v>315</v>
      </c>
      <c r="I11" s="12">
        <f t="shared" si="2"/>
        <v>61.383000000000003</v>
      </c>
      <c r="J11" s="181" t="s">
        <v>229</v>
      </c>
      <c r="K11" s="180">
        <v>25.9</v>
      </c>
      <c r="L11" s="88" t="s">
        <v>150</v>
      </c>
      <c r="O11" s="80" t="s">
        <v>48</v>
      </c>
      <c r="P11" s="182">
        <v>315</v>
      </c>
      <c r="Q11" s="12">
        <f t="shared" si="3"/>
        <v>61.383000000000003</v>
      </c>
      <c r="R11" s="181" t="s">
        <v>229</v>
      </c>
      <c r="S11" s="180">
        <v>25.9</v>
      </c>
      <c r="T11" s="88" t="s">
        <v>150</v>
      </c>
      <c r="U11" s="4"/>
    </row>
    <row r="12" spans="1:26" x14ac:dyDescent="0.2">
      <c r="A12" s="238"/>
      <c r="B12" s="4"/>
      <c r="C12" s="238"/>
      <c r="D12" s="4"/>
      <c r="E12" s="181"/>
      <c r="F12" s="181"/>
      <c r="G12" s="80" t="s">
        <v>48</v>
      </c>
      <c r="H12" s="182">
        <v>355</v>
      </c>
      <c r="I12" s="12">
        <f t="shared" si="2"/>
        <v>78.210000000000008</v>
      </c>
      <c r="J12" s="181" t="s">
        <v>229</v>
      </c>
      <c r="K12" s="180">
        <v>33</v>
      </c>
      <c r="L12" s="88" t="s">
        <v>150</v>
      </c>
      <c r="O12" s="80" t="s">
        <v>48</v>
      </c>
      <c r="P12" s="182">
        <v>355</v>
      </c>
      <c r="Q12" s="12">
        <f t="shared" si="3"/>
        <v>78.210000000000008</v>
      </c>
      <c r="R12" s="181" t="s">
        <v>229</v>
      </c>
      <c r="S12" s="180">
        <v>33</v>
      </c>
      <c r="T12" s="88" t="s">
        <v>150</v>
      </c>
      <c r="U12" s="4"/>
    </row>
    <row r="13" spans="1:26" x14ac:dyDescent="0.2">
      <c r="A13" s="238"/>
      <c r="B13" s="4"/>
      <c r="C13" s="238"/>
      <c r="D13" s="4"/>
      <c r="E13" s="181"/>
      <c r="F13" s="181"/>
      <c r="G13" s="80" t="s">
        <v>48</v>
      </c>
      <c r="H13" s="182">
        <v>400</v>
      </c>
      <c r="I13" s="12">
        <f t="shared" si="2"/>
        <v>101.19900000000001</v>
      </c>
      <c r="J13" s="181" t="s">
        <v>229</v>
      </c>
      <c r="K13" s="180">
        <v>42.7</v>
      </c>
      <c r="L13" s="88" t="s">
        <v>150</v>
      </c>
      <c r="O13" s="80" t="s">
        <v>48</v>
      </c>
      <c r="P13" s="182">
        <v>400</v>
      </c>
      <c r="Q13" s="12">
        <f t="shared" si="3"/>
        <v>101.19900000000001</v>
      </c>
      <c r="R13" s="181" t="s">
        <v>229</v>
      </c>
      <c r="S13" s="180">
        <v>42.7</v>
      </c>
      <c r="T13" s="88" t="s">
        <v>150</v>
      </c>
      <c r="U13" s="4"/>
    </row>
    <row r="14" spans="1:26" x14ac:dyDescent="0.2">
      <c r="A14" s="238"/>
      <c r="B14" s="4"/>
      <c r="C14" s="238"/>
      <c r="D14" s="4"/>
      <c r="E14" s="181"/>
      <c r="F14" s="181"/>
      <c r="G14" s="80" t="s">
        <v>48</v>
      </c>
      <c r="H14" s="182">
        <v>450</v>
      </c>
      <c r="I14" s="12">
        <f t="shared" si="2"/>
        <v>128.21700000000001</v>
      </c>
      <c r="J14" s="181" t="s">
        <v>229</v>
      </c>
      <c r="K14" s="180">
        <v>54.1</v>
      </c>
      <c r="L14" s="88" t="s">
        <v>150</v>
      </c>
      <c r="O14" s="80" t="s">
        <v>48</v>
      </c>
      <c r="P14" s="182">
        <v>450</v>
      </c>
      <c r="Q14" s="12">
        <f t="shared" si="3"/>
        <v>128.21700000000001</v>
      </c>
      <c r="R14" s="181" t="s">
        <v>229</v>
      </c>
      <c r="S14" s="180">
        <v>54.1</v>
      </c>
      <c r="T14" s="88" t="s">
        <v>150</v>
      </c>
      <c r="U14" s="4"/>
    </row>
    <row r="15" spans="1:26" x14ac:dyDescent="0.2">
      <c r="A15" s="238"/>
      <c r="B15" s="4"/>
      <c r="C15" s="238"/>
      <c r="D15" s="4"/>
      <c r="E15" s="181"/>
      <c r="F15" s="181"/>
      <c r="G15" s="80" t="s">
        <v>48</v>
      </c>
      <c r="H15" s="182">
        <v>500</v>
      </c>
      <c r="I15" s="12">
        <f t="shared" si="2"/>
        <v>158.07900000000001</v>
      </c>
      <c r="J15" s="181" t="s">
        <v>229</v>
      </c>
      <c r="K15" s="180">
        <v>66.7</v>
      </c>
      <c r="L15" s="88" t="s">
        <v>150</v>
      </c>
      <c r="O15" s="80" t="s">
        <v>48</v>
      </c>
      <c r="P15" s="182">
        <v>500</v>
      </c>
      <c r="Q15" s="12">
        <f t="shared" si="3"/>
        <v>158.07900000000001</v>
      </c>
      <c r="R15" s="181" t="s">
        <v>229</v>
      </c>
      <c r="S15" s="180">
        <v>66.7</v>
      </c>
      <c r="T15" s="88" t="s">
        <v>150</v>
      </c>
      <c r="U15" s="4"/>
    </row>
    <row r="16" spans="1:26" x14ac:dyDescent="0.2">
      <c r="A16" s="238"/>
      <c r="B16" s="4"/>
      <c r="C16" s="238"/>
      <c r="D16" s="4"/>
      <c r="E16" s="181"/>
      <c r="F16" s="181"/>
      <c r="G16" s="80" t="s">
        <v>48</v>
      </c>
      <c r="H16" s="182">
        <v>560</v>
      </c>
      <c r="I16" s="12">
        <f t="shared" si="2"/>
        <v>198.36900000000003</v>
      </c>
      <c r="J16" s="181" t="s">
        <v>229</v>
      </c>
      <c r="K16" s="180">
        <v>83.7</v>
      </c>
      <c r="L16" s="88" t="s">
        <v>150</v>
      </c>
      <c r="O16" s="80" t="s">
        <v>48</v>
      </c>
      <c r="P16" s="182">
        <v>560</v>
      </c>
      <c r="Q16" s="12">
        <f t="shared" si="3"/>
        <v>198.36900000000003</v>
      </c>
      <c r="R16" s="181" t="s">
        <v>229</v>
      </c>
      <c r="S16" s="180">
        <v>83.7</v>
      </c>
      <c r="T16" s="88" t="s">
        <v>150</v>
      </c>
      <c r="U16" s="4"/>
    </row>
    <row r="17" spans="1:22" x14ac:dyDescent="0.2">
      <c r="A17" s="238"/>
      <c r="B17" s="4"/>
      <c r="C17" s="238"/>
      <c r="D17" s="4"/>
      <c r="E17" s="181"/>
      <c r="F17" s="181"/>
      <c r="G17" s="80" t="s">
        <v>48</v>
      </c>
      <c r="H17" s="182">
        <v>630</v>
      </c>
      <c r="I17" s="12">
        <f t="shared" si="2"/>
        <v>248.85000000000002</v>
      </c>
      <c r="J17" s="181" t="s">
        <v>229</v>
      </c>
      <c r="K17" s="180">
        <v>105</v>
      </c>
      <c r="L17" s="88" t="s">
        <v>150</v>
      </c>
      <c r="O17" s="80" t="s">
        <v>48</v>
      </c>
      <c r="P17" s="182">
        <v>630</v>
      </c>
      <c r="Q17" s="12">
        <f t="shared" si="3"/>
        <v>248.85000000000002</v>
      </c>
      <c r="R17" s="181" t="s">
        <v>229</v>
      </c>
      <c r="S17" s="180">
        <v>105</v>
      </c>
      <c r="T17" s="88" t="s">
        <v>150</v>
      </c>
      <c r="U17" s="4"/>
    </row>
    <row r="18" spans="1:22" x14ac:dyDescent="0.2">
      <c r="A18" s="4"/>
      <c r="B18" s="4"/>
      <c r="C18" s="4"/>
      <c r="D18" s="4"/>
      <c r="E18" s="4"/>
      <c r="F18" s="4"/>
      <c r="G18" s="184" t="s">
        <v>231</v>
      </c>
      <c r="H18" s="185">
        <v>110</v>
      </c>
      <c r="I18" s="294">
        <f>$E$3*K18</f>
        <v>2.76</v>
      </c>
      <c r="J18" s="190" t="s">
        <v>229</v>
      </c>
      <c r="K18" s="186">
        <v>1.2</v>
      </c>
      <c r="L18" s="189" t="s">
        <v>150</v>
      </c>
      <c r="M18" s="306" t="s">
        <v>237</v>
      </c>
      <c r="O18" s="80" t="s">
        <v>48</v>
      </c>
      <c r="P18" s="1">
        <v>800</v>
      </c>
      <c r="Q18" s="12">
        <f t="shared" si="3"/>
        <v>403.84800000000001</v>
      </c>
      <c r="R18" s="181" t="s">
        <v>229</v>
      </c>
      <c r="S18" s="180">
        <v>170.4</v>
      </c>
      <c r="T18" s="88" t="s">
        <v>150</v>
      </c>
      <c r="U18" s="4"/>
    </row>
    <row r="19" spans="1:22" x14ac:dyDescent="0.2">
      <c r="A19" s="4"/>
      <c r="B19" s="4"/>
      <c r="C19" s="4"/>
      <c r="D19" s="5"/>
      <c r="E19" s="4"/>
      <c r="F19" s="4"/>
      <c r="G19" s="80" t="s">
        <v>231</v>
      </c>
      <c r="H19" s="134">
        <v>125</v>
      </c>
      <c r="I19" s="293">
        <f>$E$3*K19</f>
        <v>3.6799999999999997</v>
      </c>
      <c r="J19" s="289" t="s">
        <v>229</v>
      </c>
      <c r="K19" s="12">
        <v>1.6</v>
      </c>
      <c r="L19" s="88" t="s">
        <v>150</v>
      </c>
      <c r="M19" s="307" t="s">
        <v>238</v>
      </c>
      <c r="N19" s="97"/>
      <c r="O19" s="81" t="s">
        <v>48</v>
      </c>
      <c r="P19" s="7">
        <v>1000</v>
      </c>
      <c r="Q19" s="83">
        <f t="shared" si="3"/>
        <v>630.89400000000001</v>
      </c>
      <c r="R19" s="87" t="s">
        <v>229</v>
      </c>
      <c r="S19" s="84">
        <v>266.2</v>
      </c>
      <c r="T19" s="89" t="s">
        <v>150</v>
      </c>
      <c r="U19" s="4"/>
      <c r="V19" s="5"/>
    </row>
    <row r="20" spans="1:22" x14ac:dyDescent="0.2">
      <c r="A20" s="193"/>
      <c r="B20" s="213"/>
      <c r="D20" s="4"/>
      <c r="E20" s="5"/>
      <c r="F20" s="4"/>
      <c r="G20" s="80" t="s">
        <v>231</v>
      </c>
      <c r="H20" s="13">
        <v>160</v>
      </c>
      <c r="I20" s="293">
        <f t="shared" ref="I20:I23" si="4">$E$3*K20</f>
        <v>5.9799999999999995</v>
      </c>
      <c r="J20" s="181" t="s">
        <v>229</v>
      </c>
      <c r="K20" s="12">
        <v>2.6</v>
      </c>
      <c r="L20" s="88" t="s">
        <v>150</v>
      </c>
      <c r="N20" s="5"/>
      <c r="O20" s="184" t="s">
        <v>48</v>
      </c>
      <c r="P20" s="301">
        <v>100</v>
      </c>
      <c r="Q20" s="186">
        <f t="shared" si="3"/>
        <v>7.5366000000000009</v>
      </c>
      <c r="R20" s="187" t="s">
        <v>229</v>
      </c>
      <c r="S20" s="188">
        <v>3.18</v>
      </c>
      <c r="T20" s="189" t="s">
        <v>150</v>
      </c>
      <c r="V20" s="4" t="s">
        <v>239</v>
      </c>
    </row>
    <row r="21" spans="1:22" x14ac:dyDescent="0.2">
      <c r="A21" s="5"/>
      <c r="B21" s="4"/>
      <c r="C21" s="4"/>
      <c r="D21" s="4"/>
      <c r="E21" s="4"/>
      <c r="F21" s="4"/>
      <c r="G21" s="80" t="s">
        <v>231</v>
      </c>
      <c r="H21" s="134">
        <v>200</v>
      </c>
      <c r="I21" s="293">
        <f>$E$3*K21</f>
        <v>9.66</v>
      </c>
      <c r="J21" s="181" t="s">
        <v>229</v>
      </c>
      <c r="K21" s="12">
        <v>4.2</v>
      </c>
      <c r="L21" s="88" t="s">
        <v>150</v>
      </c>
      <c r="O21" s="80" t="s">
        <v>48</v>
      </c>
      <c r="P21" s="1">
        <v>150</v>
      </c>
      <c r="Q21" s="12">
        <f t="shared" ref="Q21" si="5">$E$2*S21</f>
        <v>15.973800000000001</v>
      </c>
      <c r="R21" s="181" t="s">
        <v>229</v>
      </c>
      <c r="S21" s="180">
        <v>6.74</v>
      </c>
      <c r="T21" s="88" t="s">
        <v>150</v>
      </c>
      <c r="U21" s="4"/>
      <c r="V21" s="4" t="s">
        <v>240</v>
      </c>
    </row>
    <row r="22" spans="1:22" x14ac:dyDescent="0.2">
      <c r="A22" s="4"/>
      <c r="B22" s="4"/>
      <c r="C22" s="4"/>
      <c r="D22" s="4"/>
      <c r="E22" s="4"/>
      <c r="F22" s="4"/>
      <c r="G22" s="80" t="s">
        <v>231</v>
      </c>
      <c r="H22" s="13">
        <v>250</v>
      </c>
      <c r="I22" s="293">
        <f t="shared" si="4"/>
        <v>15.179999999999998</v>
      </c>
      <c r="J22" s="181" t="s">
        <v>229</v>
      </c>
      <c r="K22" s="12">
        <v>6.6</v>
      </c>
      <c r="L22" s="88" t="s">
        <v>150</v>
      </c>
      <c r="O22" s="80" t="s">
        <v>48</v>
      </c>
      <c r="P22" s="1">
        <v>300</v>
      </c>
      <c r="Q22" s="12">
        <f>$E$2*S22</f>
        <v>61.383000000000003</v>
      </c>
      <c r="R22" s="181" t="s">
        <v>229</v>
      </c>
      <c r="S22" s="180">
        <v>25.9</v>
      </c>
      <c r="T22" s="88" t="s">
        <v>150</v>
      </c>
      <c r="U22" s="4"/>
      <c r="V22" s="298" t="s">
        <v>241</v>
      </c>
    </row>
    <row r="23" spans="1:22" x14ac:dyDescent="0.2">
      <c r="A23" s="214"/>
      <c r="B23" s="213"/>
      <c r="D23" s="4"/>
      <c r="E23" s="4"/>
      <c r="F23" s="4"/>
      <c r="G23" s="80" t="s">
        <v>231</v>
      </c>
      <c r="H23" s="134">
        <v>315</v>
      </c>
      <c r="I23" s="293">
        <f t="shared" si="4"/>
        <v>24.38</v>
      </c>
      <c r="J23" s="181" t="s">
        <v>229</v>
      </c>
      <c r="K23" s="12">
        <v>10.6</v>
      </c>
      <c r="L23" s="88" t="s">
        <v>150</v>
      </c>
      <c r="O23" s="81" t="s">
        <v>48</v>
      </c>
      <c r="P23" s="302">
        <v>600</v>
      </c>
      <c r="Q23" s="83">
        <f>$E$2*S23</f>
        <v>248.85000000000002</v>
      </c>
      <c r="R23" s="87" t="s">
        <v>229</v>
      </c>
      <c r="S23" s="84">
        <v>105</v>
      </c>
      <c r="T23" s="89" t="s">
        <v>150</v>
      </c>
      <c r="U23" s="4"/>
      <c r="V23" s="1" t="s">
        <v>242</v>
      </c>
    </row>
    <row r="24" spans="1:22" x14ac:dyDescent="0.2">
      <c r="A24" s="97"/>
      <c r="B24" s="4"/>
      <c r="C24" s="4"/>
      <c r="D24" s="4"/>
      <c r="E24" s="4"/>
      <c r="F24" s="4"/>
      <c r="G24" s="80" t="s">
        <v>231</v>
      </c>
      <c r="H24" s="182">
        <v>400</v>
      </c>
      <c r="I24" s="293">
        <f>$E$3*K24</f>
        <v>39.559999999999995</v>
      </c>
      <c r="J24" s="181" t="s">
        <v>229</v>
      </c>
      <c r="K24" s="12">
        <v>17.2</v>
      </c>
      <c r="L24" s="88" t="s">
        <v>150</v>
      </c>
      <c r="O24" s="2"/>
      <c r="Q24" s="2"/>
      <c r="S24" s="12"/>
      <c r="T24" s="4"/>
      <c r="U24" s="4"/>
    </row>
    <row r="25" spans="1:22" x14ac:dyDescent="0.2">
      <c r="A25" s="97"/>
      <c r="B25" s="4"/>
      <c r="C25" s="4"/>
      <c r="D25" s="4"/>
      <c r="E25" s="4"/>
      <c r="F25" s="4"/>
      <c r="G25" s="80" t="s">
        <v>231</v>
      </c>
      <c r="H25" s="182">
        <v>500</v>
      </c>
      <c r="I25" s="293">
        <f>$E$3*K25</f>
        <v>60.719999999999992</v>
      </c>
      <c r="J25" s="181" t="s">
        <v>229</v>
      </c>
      <c r="K25" s="12">
        <v>26.4</v>
      </c>
      <c r="L25" s="88" t="s">
        <v>150</v>
      </c>
      <c r="O25" s="2"/>
      <c r="Q25" s="2"/>
      <c r="S25" s="12"/>
      <c r="T25" s="4"/>
      <c r="U25" s="4"/>
    </row>
    <row r="26" spans="1:22" x14ac:dyDescent="0.2">
      <c r="A26" s="97"/>
      <c r="B26" s="4"/>
      <c r="C26" s="4"/>
      <c r="D26" s="4"/>
      <c r="E26" s="4"/>
      <c r="F26" s="4"/>
      <c r="G26" s="80" t="s">
        <v>231</v>
      </c>
      <c r="H26" s="182">
        <v>630</v>
      </c>
      <c r="I26" s="293">
        <f>$E$3*K26</f>
        <v>96.139999999999986</v>
      </c>
      <c r="J26" s="181" t="s">
        <v>229</v>
      </c>
      <c r="K26" s="12">
        <v>41.8</v>
      </c>
      <c r="L26" s="88" t="s">
        <v>150</v>
      </c>
      <c r="O26" s="2"/>
      <c r="Q26" s="2"/>
      <c r="S26" s="12"/>
      <c r="T26" s="4"/>
      <c r="U26" s="4"/>
    </row>
    <row r="27" spans="1:22" x14ac:dyDescent="0.2">
      <c r="A27" s="80"/>
      <c r="B27" s="4"/>
      <c r="C27" s="4"/>
      <c r="D27" s="4"/>
      <c r="E27" s="4"/>
      <c r="F27" s="4"/>
      <c r="G27" s="184" t="s">
        <v>51</v>
      </c>
      <c r="H27" s="185">
        <v>110</v>
      </c>
      <c r="I27" s="186">
        <f>$E$4*K27</f>
        <v>6.1745000000000001</v>
      </c>
      <c r="J27" s="187" t="s">
        <v>229</v>
      </c>
      <c r="K27" s="188">
        <v>2.65</v>
      </c>
      <c r="L27" s="189" t="s">
        <v>150</v>
      </c>
      <c r="M27" s="307" t="s">
        <v>243</v>
      </c>
      <c r="N27" s="97"/>
      <c r="O27" s="180"/>
      <c r="Q27" s="180"/>
      <c r="S27" s="4"/>
      <c r="T27" s="4"/>
      <c r="U27" s="4"/>
    </row>
    <row r="28" spans="1:22" x14ac:dyDescent="0.2">
      <c r="A28" s="80"/>
      <c r="B28" s="4"/>
      <c r="C28" s="4"/>
      <c r="D28" s="4"/>
      <c r="E28" s="4"/>
      <c r="F28" s="4"/>
      <c r="G28" s="80" t="s">
        <v>51</v>
      </c>
      <c r="H28" s="13">
        <v>125</v>
      </c>
      <c r="I28" s="12">
        <f>$E$4*K28</f>
        <v>7.8987000000000007</v>
      </c>
      <c r="J28" s="181" t="s">
        <v>229</v>
      </c>
      <c r="K28" s="180">
        <v>3.39</v>
      </c>
      <c r="L28" s="88" t="s">
        <v>150</v>
      </c>
      <c r="M28" s="308"/>
      <c r="N28" s="5"/>
      <c r="O28" s="180"/>
      <c r="Q28" s="180"/>
      <c r="S28" s="4"/>
      <c r="T28" s="4"/>
      <c r="U28" s="4"/>
    </row>
    <row r="29" spans="1:22" x14ac:dyDescent="0.2">
      <c r="A29" s="80"/>
      <c r="B29" s="4"/>
      <c r="C29" s="4"/>
      <c r="D29" s="4"/>
      <c r="E29" s="4"/>
      <c r="F29" s="4"/>
      <c r="G29" s="80" t="s">
        <v>51</v>
      </c>
      <c r="H29" s="134">
        <v>160</v>
      </c>
      <c r="I29" s="12">
        <f>$E$4*K29</f>
        <v>12.9315</v>
      </c>
      <c r="J29" s="181" t="s">
        <v>229</v>
      </c>
      <c r="K29" s="180">
        <v>5.55</v>
      </c>
      <c r="L29" s="88" t="s">
        <v>150</v>
      </c>
      <c r="M29" s="305"/>
      <c r="O29" s="180"/>
      <c r="Q29" s="180"/>
      <c r="S29" s="4"/>
      <c r="T29" s="4"/>
      <c r="U29" s="4"/>
    </row>
    <row r="30" spans="1:22" x14ac:dyDescent="0.2">
      <c r="A30" s="80"/>
      <c r="B30" s="4"/>
      <c r="C30" s="4"/>
      <c r="D30" s="4"/>
      <c r="E30" s="4"/>
      <c r="F30" s="4"/>
      <c r="G30" s="80" t="s">
        <v>51</v>
      </c>
      <c r="H30" s="134">
        <v>225</v>
      </c>
      <c r="I30" s="12">
        <f t="shared" ref="I30:I32" si="6">$E$4*K30</f>
        <v>25.420300000000001</v>
      </c>
      <c r="J30" s="181" t="s">
        <v>229</v>
      </c>
      <c r="K30" s="180">
        <v>10.91</v>
      </c>
      <c r="L30" s="88" t="s">
        <v>150</v>
      </c>
      <c r="M30" s="305"/>
      <c r="O30" s="180"/>
      <c r="Q30" s="180"/>
      <c r="S30" s="4"/>
      <c r="T30" s="4"/>
      <c r="U30" s="4"/>
    </row>
    <row r="31" spans="1:22" x14ac:dyDescent="0.2">
      <c r="A31" s="80"/>
      <c r="B31" s="4"/>
      <c r="C31" s="4"/>
      <c r="D31" s="4"/>
      <c r="E31" s="4"/>
      <c r="F31" s="4"/>
      <c r="G31" s="80" t="s">
        <v>51</v>
      </c>
      <c r="H31" s="134">
        <v>250</v>
      </c>
      <c r="I31" s="12">
        <f t="shared" si="6"/>
        <v>31.0822</v>
      </c>
      <c r="J31" s="181" t="s">
        <v>229</v>
      </c>
      <c r="K31" s="180">
        <v>13.34</v>
      </c>
      <c r="L31" s="88" t="s">
        <v>150</v>
      </c>
      <c r="O31" s="180"/>
      <c r="Q31" s="180"/>
      <c r="S31" s="4"/>
      <c r="T31" s="4"/>
      <c r="U31" s="4"/>
    </row>
    <row r="32" spans="1:22" x14ac:dyDescent="0.2">
      <c r="A32" s="80"/>
      <c r="B32" s="4"/>
      <c r="C32" s="4"/>
      <c r="D32" s="4"/>
      <c r="E32" s="4"/>
      <c r="F32" s="4"/>
      <c r="G32" s="80" t="s">
        <v>51</v>
      </c>
      <c r="H32" s="13">
        <v>315</v>
      </c>
      <c r="I32" s="12">
        <f t="shared" si="6"/>
        <v>49.279499999999999</v>
      </c>
      <c r="J32" s="181" t="s">
        <v>229</v>
      </c>
      <c r="K32" s="180">
        <v>21.15</v>
      </c>
      <c r="L32" s="88" t="s">
        <v>150</v>
      </c>
      <c r="O32" s="180"/>
      <c r="Q32" s="180"/>
      <c r="S32" s="4"/>
      <c r="T32" s="4"/>
      <c r="U32" s="4"/>
    </row>
    <row r="33" spans="1:21" x14ac:dyDescent="0.2">
      <c r="A33" s="4"/>
      <c r="B33" s="4"/>
      <c r="C33" s="4"/>
      <c r="D33" s="4"/>
      <c r="E33" s="4"/>
      <c r="F33" s="4"/>
      <c r="G33" s="81" t="s">
        <v>51</v>
      </c>
      <c r="H33" s="295">
        <v>400</v>
      </c>
      <c r="I33" s="83">
        <f>$E$4*K33</f>
        <v>82.326666666666668</v>
      </c>
      <c r="J33" s="87" t="s">
        <v>229</v>
      </c>
      <c r="K33" s="299">
        <f>212/6</f>
        <v>35.333333333333336</v>
      </c>
      <c r="L33" s="89" t="s">
        <v>150</v>
      </c>
      <c r="M33" s="307" t="s">
        <v>244</v>
      </c>
      <c r="O33" s="180"/>
      <c r="Q33" s="180"/>
      <c r="S33" s="4"/>
      <c r="T33" s="4"/>
      <c r="U33" s="4"/>
    </row>
    <row r="34" spans="1:21" x14ac:dyDescent="0.2">
      <c r="A34" s="4"/>
      <c r="B34" s="4"/>
      <c r="C34" s="4"/>
      <c r="D34" s="4"/>
      <c r="E34" s="4"/>
      <c r="F34" s="4"/>
      <c r="G34" s="184" t="s">
        <v>43</v>
      </c>
      <c r="H34" s="185">
        <v>300</v>
      </c>
      <c r="I34" s="186">
        <f>$E$5*K34</f>
        <v>33</v>
      </c>
      <c r="J34" s="187" t="s">
        <v>229</v>
      </c>
      <c r="K34" s="188">
        <v>275</v>
      </c>
      <c r="L34" s="189" t="s">
        <v>150</v>
      </c>
      <c r="M34" s="307" t="s">
        <v>245</v>
      </c>
      <c r="S34" s="4"/>
      <c r="T34" s="4"/>
      <c r="U34" s="4"/>
    </row>
    <row r="35" spans="1:21" x14ac:dyDescent="0.2">
      <c r="A35" s="4"/>
      <c r="B35" s="4"/>
      <c r="C35" s="4"/>
      <c r="D35" s="4"/>
      <c r="E35" s="4"/>
      <c r="F35" s="4"/>
      <c r="G35" s="80" t="s">
        <v>43</v>
      </c>
      <c r="H35" s="134">
        <v>400</v>
      </c>
      <c r="I35" s="12">
        <f>$E$5*K35</f>
        <v>39.6</v>
      </c>
      <c r="J35" s="181" t="s">
        <v>229</v>
      </c>
      <c r="K35" s="180">
        <v>330</v>
      </c>
      <c r="L35" s="88" t="s">
        <v>150</v>
      </c>
      <c r="S35" s="4"/>
      <c r="T35" s="4"/>
      <c r="U35" s="4"/>
    </row>
    <row r="36" spans="1:21" x14ac:dyDescent="0.2">
      <c r="A36" s="4"/>
      <c r="B36" s="4"/>
      <c r="C36" s="4"/>
      <c r="D36" s="4"/>
      <c r="E36" s="4"/>
      <c r="F36" s="4"/>
      <c r="G36" s="80" t="s">
        <v>43</v>
      </c>
      <c r="H36" s="13">
        <v>500</v>
      </c>
      <c r="I36" s="12">
        <f t="shared" ref="I36" si="7">$E$5*K36</f>
        <v>50.4</v>
      </c>
      <c r="J36" s="181" t="s">
        <v>229</v>
      </c>
      <c r="K36" s="180">
        <v>420</v>
      </c>
      <c r="L36" s="88" t="s">
        <v>150</v>
      </c>
      <c r="S36" s="4"/>
      <c r="T36" s="4"/>
      <c r="U36" s="4"/>
    </row>
    <row r="37" spans="1:21" x14ac:dyDescent="0.2">
      <c r="A37" s="4"/>
      <c r="B37" s="4"/>
      <c r="C37" s="4"/>
      <c r="D37" s="4"/>
      <c r="E37" s="4"/>
      <c r="F37" s="4"/>
      <c r="G37" s="80" t="s">
        <v>43</v>
      </c>
      <c r="H37" s="134">
        <v>600</v>
      </c>
      <c r="I37" s="12">
        <f>$E$5*K37</f>
        <v>62.4</v>
      </c>
      <c r="J37" s="181" t="s">
        <v>229</v>
      </c>
      <c r="K37" s="180">
        <v>520</v>
      </c>
      <c r="L37" s="88" t="s">
        <v>150</v>
      </c>
      <c r="S37" s="4"/>
      <c r="T37" s="4"/>
      <c r="U37" s="4"/>
    </row>
    <row r="38" spans="1:21" x14ac:dyDescent="0.2">
      <c r="A38" s="4"/>
      <c r="B38" s="4"/>
      <c r="C38" s="4"/>
      <c r="D38" s="4"/>
      <c r="E38" s="4"/>
      <c r="F38" s="4"/>
      <c r="G38" s="80" t="s">
        <v>43</v>
      </c>
      <c r="H38" s="13">
        <v>800</v>
      </c>
      <c r="I38" s="12">
        <f>$E$5*K38</f>
        <v>94.8</v>
      </c>
      <c r="J38" s="181" t="s">
        <v>229</v>
      </c>
      <c r="K38" s="180">
        <v>790</v>
      </c>
      <c r="L38" s="88" t="s">
        <v>150</v>
      </c>
      <c r="S38" s="4"/>
      <c r="T38" s="4"/>
      <c r="U38" s="4"/>
    </row>
    <row r="39" spans="1:21" x14ac:dyDescent="0.2">
      <c r="A39" s="4"/>
      <c r="B39" s="4"/>
      <c r="C39" s="4"/>
      <c r="D39" s="4"/>
      <c r="E39" s="4"/>
      <c r="F39" s="4"/>
      <c r="G39" s="81" t="s">
        <v>43</v>
      </c>
      <c r="H39" s="295">
        <v>1000</v>
      </c>
      <c r="I39" s="83">
        <f>$E$5*K39</f>
        <v>133.19999999999999</v>
      </c>
      <c r="J39" s="87" t="s">
        <v>229</v>
      </c>
      <c r="K39" s="84">
        <v>1110</v>
      </c>
      <c r="L39" s="89" t="s">
        <v>150</v>
      </c>
      <c r="S39" s="4"/>
      <c r="T39" s="4"/>
      <c r="U39" s="4"/>
    </row>
    <row r="40" spans="1:21" x14ac:dyDescent="0.2">
      <c r="A40" s="4"/>
      <c r="B40" s="4"/>
      <c r="C40" s="4"/>
      <c r="D40" s="4"/>
      <c r="E40" s="4"/>
      <c r="F40" s="4"/>
      <c r="G40" s="184" t="s">
        <v>234</v>
      </c>
      <c r="H40" s="185">
        <v>300</v>
      </c>
      <c r="I40" s="186">
        <f>$E$6*K40</f>
        <v>82.16</v>
      </c>
      <c r="J40" s="187" t="s">
        <v>229</v>
      </c>
      <c r="K40" s="188">
        <v>13</v>
      </c>
      <c r="L40" s="189" t="s">
        <v>150</v>
      </c>
      <c r="M40" s="288" t="s">
        <v>246</v>
      </c>
      <c r="S40" s="4"/>
      <c r="T40" s="4"/>
      <c r="U40" s="4"/>
    </row>
    <row r="41" spans="1:21" x14ac:dyDescent="0.2">
      <c r="A41" s="4"/>
      <c r="B41" s="4"/>
      <c r="C41" s="4"/>
      <c r="D41" s="4"/>
      <c r="E41" s="4"/>
      <c r="F41" s="4"/>
      <c r="G41" s="80" t="s">
        <v>234</v>
      </c>
      <c r="H41" s="134">
        <v>400</v>
      </c>
      <c r="I41" s="12">
        <f>$E$6*K41</f>
        <v>113.76</v>
      </c>
      <c r="J41" s="181" t="s">
        <v>229</v>
      </c>
      <c r="K41" s="180">
        <v>18</v>
      </c>
      <c r="L41" s="88" t="s">
        <v>150</v>
      </c>
      <c r="M41" s="307" t="s">
        <v>247</v>
      </c>
      <c r="S41" s="4"/>
      <c r="T41" s="4"/>
      <c r="U41" s="4"/>
    </row>
    <row r="42" spans="1:21" x14ac:dyDescent="0.2">
      <c r="A42" s="4"/>
      <c r="B42" s="4"/>
      <c r="C42" s="4"/>
      <c r="D42" s="4"/>
      <c r="E42" s="4"/>
      <c r="F42" s="4"/>
      <c r="G42" s="80" t="s">
        <v>234</v>
      </c>
      <c r="H42" s="13">
        <v>500</v>
      </c>
      <c r="I42" s="12">
        <f t="shared" ref="I42" si="8">$E$6*K42</f>
        <v>170.64000000000001</v>
      </c>
      <c r="J42" s="181" t="s">
        <v>229</v>
      </c>
      <c r="K42" s="180">
        <v>27</v>
      </c>
      <c r="L42" s="88" t="s">
        <v>150</v>
      </c>
      <c r="S42" s="4"/>
      <c r="T42" s="4"/>
      <c r="U42" s="4"/>
    </row>
    <row r="43" spans="1:21" x14ac:dyDescent="0.2">
      <c r="A43" s="4"/>
      <c r="B43" s="4"/>
      <c r="C43" s="4"/>
      <c r="D43" s="4"/>
      <c r="E43" s="4"/>
      <c r="F43" s="4"/>
      <c r="G43" s="80" t="s">
        <v>234</v>
      </c>
      <c r="H43" s="134">
        <v>600</v>
      </c>
      <c r="I43" s="12">
        <f>$E$6*K43</f>
        <v>227.52</v>
      </c>
      <c r="J43" s="181" t="s">
        <v>229</v>
      </c>
      <c r="K43" s="180">
        <v>36</v>
      </c>
      <c r="L43" s="88" t="s">
        <v>150</v>
      </c>
      <c r="S43" s="4"/>
      <c r="T43" s="4"/>
      <c r="U43" s="4"/>
    </row>
    <row r="44" spans="1:21" x14ac:dyDescent="0.2">
      <c r="A44" s="4"/>
      <c r="B44" s="4"/>
      <c r="C44" s="4"/>
      <c r="D44" s="4"/>
      <c r="E44" s="4"/>
      <c r="F44" s="4"/>
      <c r="G44" s="80" t="s">
        <v>234</v>
      </c>
      <c r="H44" s="13">
        <v>800</v>
      </c>
      <c r="I44" s="12">
        <f>$E$6*K44</f>
        <v>398.16</v>
      </c>
      <c r="J44" s="181" t="s">
        <v>229</v>
      </c>
      <c r="K44" s="180">
        <v>63</v>
      </c>
      <c r="L44" s="88" t="s">
        <v>150</v>
      </c>
      <c r="S44" s="4"/>
      <c r="T44" s="4"/>
      <c r="U44" s="4"/>
    </row>
    <row r="45" spans="1:21" x14ac:dyDescent="0.2">
      <c r="A45" s="4"/>
      <c r="B45" s="4"/>
      <c r="C45" s="4"/>
      <c r="D45" s="4"/>
      <c r="E45" s="4"/>
      <c r="F45" s="4"/>
      <c r="G45" s="81" t="s">
        <v>234</v>
      </c>
      <c r="H45" s="295">
        <v>1000</v>
      </c>
      <c r="I45" s="83">
        <f>$E$6*K45</f>
        <v>625.68000000000006</v>
      </c>
      <c r="J45" s="87" t="s">
        <v>229</v>
      </c>
      <c r="K45" s="84">
        <v>99</v>
      </c>
      <c r="L45" s="89" t="s">
        <v>150</v>
      </c>
      <c r="S45" s="4"/>
      <c r="T45" s="4"/>
      <c r="U45" s="4"/>
    </row>
    <row r="46" spans="1:21" x14ac:dyDescent="0.2">
      <c r="A46" s="4"/>
      <c r="B46" s="4"/>
      <c r="C46" s="4"/>
      <c r="D46" s="4"/>
      <c r="E46" s="4"/>
      <c r="F46" s="4"/>
      <c r="G46" s="80" t="s">
        <v>235</v>
      </c>
      <c r="H46" s="13">
        <v>100</v>
      </c>
      <c r="I46" s="12">
        <f t="shared" ref="I46:I52" si="9">$E$7*K46</f>
        <v>38.160000000000004</v>
      </c>
      <c r="J46" s="181" t="s">
        <v>229</v>
      </c>
      <c r="K46" s="180">
        <v>24</v>
      </c>
      <c r="L46" s="88" t="s">
        <v>150</v>
      </c>
      <c r="M46" s="307" t="s">
        <v>248</v>
      </c>
      <c r="S46" s="4"/>
      <c r="T46" s="4"/>
      <c r="U46" s="4"/>
    </row>
    <row r="47" spans="1:21" x14ac:dyDescent="0.2">
      <c r="A47" s="4"/>
      <c r="B47" s="4"/>
      <c r="C47" s="4"/>
      <c r="D47" s="4"/>
      <c r="E47" s="4"/>
      <c r="F47" s="4"/>
      <c r="G47" s="80" t="s">
        <v>235</v>
      </c>
      <c r="H47" s="134">
        <v>150</v>
      </c>
      <c r="I47" s="12">
        <f t="shared" si="9"/>
        <v>55.650000000000006</v>
      </c>
      <c r="J47" s="181" t="s">
        <v>229</v>
      </c>
      <c r="K47" s="180">
        <v>35</v>
      </c>
      <c r="L47" s="88" t="s">
        <v>150</v>
      </c>
      <c r="S47" s="4"/>
      <c r="T47" s="4"/>
      <c r="U47" s="4"/>
    </row>
    <row r="48" spans="1:21" x14ac:dyDescent="0.2">
      <c r="A48" s="4"/>
      <c r="B48" s="4"/>
      <c r="C48" s="4"/>
      <c r="D48" s="4"/>
      <c r="E48" s="4"/>
      <c r="F48" s="4"/>
      <c r="G48" s="80" t="s">
        <v>235</v>
      </c>
      <c r="H48" s="13">
        <v>200</v>
      </c>
      <c r="I48" s="12">
        <f t="shared" si="9"/>
        <v>79.5</v>
      </c>
      <c r="J48" s="181" t="s">
        <v>229</v>
      </c>
      <c r="K48" s="180">
        <v>50</v>
      </c>
      <c r="L48" s="88" t="s">
        <v>150</v>
      </c>
      <c r="S48" s="4"/>
      <c r="T48" s="4"/>
      <c r="U48" s="4"/>
    </row>
    <row r="49" spans="1:21" x14ac:dyDescent="0.2">
      <c r="A49" s="4"/>
      <c r="B49" s="4"/>
      <c r="C49" s="4"/>
      <c r="D49" s="4"/>
      <c r="E49" s="4"/>
      <c r="F49" s="4"/>
      <c r="G49" s="80" t="s">
        <v>235</v>
      </c>
      <c r="H49" s="134">
        <v>250</v>
      </c>
      <c r="I49" s="12">
        <f t="shared" si="9"/>
        <v>95.4</v>
      </c>
      <c r="J49" s="181" t="s">
        <v>229</v>
      </c>
      <c r="K49" s="180">
        <v>60</v>
      </c>
      <c r="L49" s="88" t="s">
        <v>150</v>
      </c>
      <c r="S49" s="4"/>
      <c r="T49" s="4"/>
      <c r="U49" s="4"/>
    </row>
    <row r="50" spans="1:21" x14ac:dyDescent="0.2">
      <c r="A50" s="193"/>
      <c r="B50" s="4"/>
      <c r="D50" s="4"/>
      <c r="E50" s="4"/>
      <c r="F50" s="4"/>
      <c r="G50" s="80" t="s">
        <v>235</v>
      </c>
      <c r="H50" s="13">
        <v>300</v>
      </c>
      <c r="I50" s="12">
        <f t="shared" si="9"/>
        <v>124.02000000000001</v>
      </c>
      <c r="J50" s="181" t="s">
        <v>229</v>
      </c>
      <c r="K50" s="180">
        <v>78</v>
      </c>
      <c r="L50" s="88" t="s">
        <v>150</v>
      </c>
      <c r="S50" s="4"/>
      <c r="T50" s="4"/>
      <c r="U50" s="4"/>
    </row>
    <row r="51" spans="1:21" x14ac:dyDescent="0.2">
      <c r="A51" s="4"/>
      <c r="B51" s="4"/>
      <c r="C51" s="4"/>
      <c r="D51" s="4"/>
      <c r="E51" s="4"/>
      <c r="F51" s="4"/>
      <c r="G51" s="80" t="s">
        <v>235</v>
      </c>
      <c r="H51" s="134">
        <v>400</v>
      </c>
      <c r="I51" s="12">
        <f t="shared" si="9"/>
        <v>146.28</v>
      </c>
      <c r="J51" s="181" t="s">
        <v>229</v>
      </c>
      <c r="K51" s="180">
        <v>92</v>
      </c>
      <c r="L51" s="88" t="s">
        <v>150</v>
      </c>
      <c r="S51" s="4"/>
      <c r="T51" s="4"/>
      <c r="U51" s="4"/>
    </row>
    <row r="52" spans="1:21" x14ac:dyDescent="0.2">
      <c r="A52" s="4"/>
      <c r="B52" s="4"/>
      <c r="C52" s="4"/>
      <c r="D52" s="4"/>
      <c r="E52" s="4"/>
      <c r="F52" s="4"/>
      <c r="G52" s="80" t="s">
        <v>235</v>
      </c>
      <c r="H52" s="182">
        <v>600</v>
      </c>
      <c r="I52" s="12">
        <f t="shared" si="9"/>
        <v>297.33000000000004</v>
      </c>
      <c r="J52" s="181" t="s">
        <v>229</v>
      </c>
      <c r="K52" s="180">
        <v>187</v>
      </c>
      <c r="L52" s="88" t="s">
        <v>150</v>
      </c>
      <c r="S52" s="4"/>
      <c r="T52" s="4"/>
      <c r="U52" s="4"/>
    </row>
    <row r="53" spans="1:21" x14ac:dyDescent="0.2">
      <c r="A53" s="4"/>
      <c r="B53" s="4"/>
      <c r="C53" s="4"/>
      <c r="D53" s="4"/>
      <c r="E53" s="4"/>
      <c r="F53" s="4"/>
      <c r="G53" s="184" t="s">
        <v>46</v>
      </c>
      <c r="H53" s="185">
        <v>100</v>
      </c>
      <c r="I53" s="186">
        <f t="shared" ref="I53:I58" si="10">$E$8*K53</f>
        <v>26.162999999999997</v>
      </c>
      <c r="J53" s="187" t="s">
        <v>229</v>
      </c>
      <c r="K53" s="188">
        <v>5.0999999999999996</v>
      </c>
      <c r="L53" s="189" t="s">
        <v>150</v>
      </c>
      <c r="M53" s="307" t="s">
        <v>249</v>
      </c>
      <c r="S53" s="4"/>
      <c r="T53" s="4"/>
      <c r="U53" s="4"/>
    </row>
    <row r="54" spans="1:21" x14ac:dyDescent="0.2">
      <c r="A54" s="4"/>
      <c r="B54" s="4"/>
      <c r="C54" s="4"/>
      <c r="D54" s="4"/>
      <c r="E54" s="4"/>
      <c r="F54" s="4"/>
      <c r="G54" s="80" t="s">
        <v>46</v>
      </c>
      <c r="H54" s="134">
        <v>150</v>
      </c>
      <c r="I54" s="12">
        <f t="shared" si="10"/>
        <v>38.988</v>
      </c>
      <c r="J54" s="181" t="s">
        <v>229</v>
      </c>
      <c r="K54" s="180">
        <v>7.6</v>
      </c>
      <c r="L54" s="88" t="s">
        <v>150</v>
      </c>
      <c r="M54" s="307"/>
      <c r="S54" s="4"/>
      <c r="T54" s="4"/>
      <c r="U54" s="4"/>
    </row>
    <row r="55" spans="1:21" x14ac:dyDescent="0.2">
      <c r="A55" s="4"/>
      <c r="B55" s="4"/>
      <c r="C55" s="4"/>
      <c r="D55" s="4"/>
      <c r="E55" s="4"/>
      <c r="F55" s="4"/>
      <c r="G55" s="80" t="s">
        <v>46</v>
      </c>
      <c r="H55" s="13">
        <v>200</v>
      </c>
      <c r="I55" s="12">
        <f t="shared" si="10"/>
        <v>51.812999999999995</v>
      </c>
      <c r="J55" s="181" t="s">
        <v>229</v>
      </c>
      <c r="K55" s="180">
        <v>10.1</v>
      </c>
      <c r="L55" s="88" t="s">
        <v>150</v>
      </c>
      <c r="S55" s="4"/>
      <c r="T55" s="4"/>
      <c r="U55" s="4"/>
    </row>
    <row r="56" spans="1:21" x14ac:dyDescent="0.2">
      <c r="A56" s="4"/>
      <c r="B56" s="4"/>
      <c r="C56" s="4"/>
      <c r="D56" s="4"/>
      <c r="E56" s="6"/>
      <c r="F56" s="6"/>
      <c r="G56" s="80" t="s">
        <v>46</v>
      </c>
      <c r="H56" s="134">
        <v>250</v>
      </c>
      <c r="I56" s="12">
        <f t="shared" si="10"/>
        <v>64.637999999999991</v>
      </c>
      <c r="J56" s="181" t="s">
        <v>229</v>
      </c>
      <c r="K56" s="300">
        <v>12.6</v>
      </c>
      <c r="L56" s="88" t="s">
        <v>150</v>
      </c>
      <c r="S56" s="4"/>
      <c r="T56" s="4"/>
      <c r="U56" s="4"/>
    </row>
    <row r="57" spans="1:21" x14ac:dyDescent="0.2">
      <c r="A57" s="4"/>
      <c r="B57" s="4"/>
      <c r="C57" s="4"/>
      <c r="D57" s="4"/>
      <c r="E57" s="6"/>
      <c r="F57" s="6"/>
      <c r="G57" s="80" t="s">
        <v>46</v>
      </c>
      <c r="H57" s="13">
        <v>300</v>
      </c>
      <c r="I57" s="12">
        <f t="shared" si="10"/>
        <v>116.964</v>
      </c>
      <c r="J57" s="181" t="s">
        <v>229</v>
      </c>
      <c r="K57" s="180">
        <v>22.8</v>
      </c>
      <c r="L57" s="88" t="s">
        <v>150</v>
      </c>
      <c r="S57" s="4"/>
      <c r="T57" s="4"/>
      <c r="U57" s="4"/>
    </row>
    <row r="58" spans="1:21" x14ac:dyDescent="0.2">
      <c r="A58" s="4"/>
      <c r="B58" s="4"/>
      <c r="C58" s="4"/>
      <c r="D58" s="4"/>
      <c r="E58" s="4"/>
      <c r="F58" s="4"/>
      <c r="G58" s="80" t="s">
        <v>46</v>
      </c>
      <c r="H58" s="134">
        <v>400</v>
      </c>
      <c r="I58" s="12">
        <f t="shared" si="10"/>
        <v>155.952</v>
      </c>
      <c r="J58" s="181" t="s">
        <v>229</v>
      </c>
      <c r="K58" s="180">
        <v>30.4</v>
      </c>
      <c r="L58" s="88" t="s">
        <v>150</v>
      </c>
      <c r="S58" s="4"/>
      <c r="T58" s="4"/>
      <c r="U58" s="4"/>
    </row>
    <row r="59" spans="1:21" x14ac:dyDescent="0.2">
      <c r="A59" s="4"/>
      <c r="B59" s="14"/>
      <c r="C59" s="14"/>
      <c r="D59" s="14"/>
      <c r="E59" s="12"/>
      <c r="F59" s="12"/>
      <c r="G59" s="184" t="s">
        <v>250</v>
      </c>
      <c r="H59" s="209">
        <v>400</v>
      </c>
      <c r="I59" s="186">
        <f>$E$9*K59</f>
        <v>16.669</v>
      </c>
      <c r="J59" s="187" t="s">
        <v>229</v>
      </c>
      <c r="K59" s="188">
        <v>7.9</v>
      </c>
      <c r="L59" s="189" t="s">
        <v>150</v>
      </c>
      <c r="M59" s="307" t="s">
        <v>251</v>
      </c>
      <c r="N59" s="4"/>
      <c r="O59" s="4"/>
      <c r="P59" s="4"/>
      <c r="Q59" s="4"/>
      <c r="R59" s="4"/>
      <c r="S59" s="4"/>
      <c r="T59" s="4"/>
      <c r="U59" s="4"/>
    </row>
    <row r="60" spans="1:21" x14ac:dyDescent="0.2">
      <c r="A60" s="4"/>
      <c r="B60" s="14"/>
      <c r="C60" s="14"/>
      <c r="D60" s="14"/>
      <c r="E60" s="12"/>
      <c r="F60" s="12"/>
      <c r="G60" s="80" t="s">
        <v>250</v>
      </c>
      <c r="H60" s="4">
        <v>500</v>
      </c>
      <c r="I60" s="12">
        <f t="shared" ref="I60:I67" si="11">$E$9*K60</f>
        <v>27.43</v>
      </c>
      <c r="J60" s="181" t="s">
        <v>229</v>
      </c>
      <c r="K60" s="180">
        <v>13</v>
      </c>
      <c r="L60" s="88" t="s">
        <v>150</v>
      </c>
      <c r="M60" s="309"/>
      <c r="N60" s="4"/>
      <c r="O60" s="4"/>
      <c r="P60" s="4"/>
      <c r="Q60" s="4"/>
      <c r="R60" s="4"/>
      <c r="S60" s="4"/>
      <c r="T60" s="4"/>
      <c r="U60" s="4"/>
    </row>
    <row r="61" spans="1:21" x14ac:dyDescent="0.2">
      <c r="A61" s="4"/>
      <c r="B61" s="14"/>
      <c r="C61" s="14"/>
      <c r="D61" s="14"/>
      <c r="E61" s="4"/>
      <c r="F61" s="4"/>
      <c r="G61" s="80" t="s">
        <v>250</v>
      </c>
      <c r="H61" s="4">
        <v>600</v>
      </c>
      <c r="I61" s="12">
        <f t="shared" si="11"/>
        <v>35.869999999999997</v>
      </c>
      <c r="J61" s="181" t="s">
        <v>229</v>
      </c>
      <c r="K61" s="180">
        <v>17</v>
      </c>
      <c r="L61" s="88" t="s">
        <v>150</v>
      </c>
      <c r="M61" s="309"/>
      <c r="N61" s="4"/>
      <c r="O61" s="4"/>
      <c r="P61" s="4"/>
      <c r="Q61" s="4"/>
      <c r="R61" s="4"/>
      <c r="S61" s="4"/>
      <c r="T61" s="4"/>
      <c r="U61" s="4"/>
    </row>
    <row r="62" spans="1:21" x14ac:dyDescent="0.2">
      <c r="A62" s="4"/>
      <c r="B62" s="14"/>
      <c r="C62" s="14"/>
      <c r="D62" s="14"/>
      <c r="E62" s="4"/>
      <c r="F62" s="4"/>
      <c r="G62" s="80" t="s">
        <v>250</v>
      </c>
      <c r="H62" s="4">
        <v>700</v>
      </c>
      <c r="I62" s="12">
        <f t="shared" si="11"/>
        <v>49.584999999999994</v>
      </c>
      <c r="J62" s="181" t="s">
        <v>229</v>
      </c>
      <c r="K62" s="180">
        <v>23.5</v>
      </c>
      <c r="L62" s="88" t="s">
        <v>150</v>
      </c>
      <c r="M62" s="309"/>
      <c r="N62" s="4"/>
      <c r="O62" s="4"/>
      <c r="P62" s="4"/>
      <c r="Q62" s="4"/>
      <c r="R62" s="4"/>
      <c r="S62" s="4"/>
      <c r="T62" s="4"/>
      <c r="U62" s="4"/>
    </row>
    <row r="63" spans="1:21" x14ac:dyDescent="0.2">
      <c r="A63" s="4"/>
      <c r="B63" s="14"/>
      <c r="C63" s="14"/>
      <c r="D63" s="14"/>
      <c r="E63" s="4"/>
      <c r="F63" s="4"/>
      <c r="G63" s="80" t="s">
        <v>250</v>
      </c>
      <c r="H63" s="4">
        <v>800</v>
      </c>
      <c r="I63" s="12">
        <f t="shared" si="11"/>
        <v>63.088999999999992</v>
      </c>
      <c r="J63" s="181" t="s">
        <v>229</v>
      </c>
      <c r="K63" s="180">
        <v>29.9</v>
      </c>
      <c r="L63" s="88" t="s">
        <v>150</v>
      </c>
      <c r="M63" s="309"/>
      <c r="N63" s="4"/>
      <c r="O63" s="4"/>
      <c r="P63" s="4"/>
      <c r="Q63" s="4"/>
      <c r="R63" s="4"/>
      <c r="S63" s="4"/>
      <c r="T63" s="4"/>
      <c r="U63" s="4"/>
    </row>
    <row r="64" spans="1:21" x14ac:dyDescent="0.2">
      <c r="A64" s="4"/>
      <c r="B64" s="14"/>
      <c r="C64" s="14"/>
      <c r="D64" s="14"/>
      <c r="E64" s="4"/>
      <c r="F64" s="4"/>
      <c r="G64" s="80" t="s">
        <v>250</v>
      </c>
      <c r="H64" s="4">
        <v>900</v>
      </c>
      <c r="I64" s="12">
        <f t="shared" si="11"/>
        <v>73.216999999999999</v>
      </c>
      <c r="J64" s="181" t="s">
        <v>229</v>
      </c>
      <c r="K64" s="180">
        <v>34.700000000000003</v>
      </c>
      <c r="L64" s="88" t="s">
        <v>150</v>
      </c>
      <c r="M64" s="309"/>
      <c r="N64" s="4"/>
      <c r="O64" s="4"/>
      <c r="P64" s="4"/>
      <c r="Q64" s="4"/>
      <c r="R64" s="4"/>
      <c r="S64" s="4"/>
      <c r="T64" s="4"/>
      <c r="U64" s="4"/>
    </row>
    <row r="65" spans="1:22" x14ac:dyDescent="0.2">
      <c r="A65" s="4"/>
      <c r="B65" s="14"/>
      <c r="C65" s="14"/>
      <c r="D65" s="14"/>
      <c r="E65" s="4"/>
      <c r="F65" s="4"/>
      <c r="G65" s="80" t="s">
        <v>250</v>
      </c>
      <c r="H65" s="4">
        <v>1000</v>
      </c>
      <c r="I65" s="12">
        <f t="shared" si="11"/>
        <v>83.344999999999999</v>
      </c>
      <c r="J65" s="181" t="s">
        <v>229</v>
      </c>
      <c r="K65" s="180">
        <v>39.5</v>
      </c>
      <c r="L65" s="88" t="s">
        <v>150</v>
      </c>
      <c r="M65" s="309"/>
      <c r="N65" s="4"/>
      <c r="O65" s="4"/>
      <c r="P65" s="4"/>
      <c r="Q65" s="4"/>
      <c r="R65" s="4"/>
      <c r="S65" s="4"/>
      <c r="T65" s="4"/>
      <c r="U65" s="4"/>
    </row>
    <row r="66" spans="1:22" x14ac:dyDescent="0.2">
      <c r="A66" s="4"/>
      <c r="B66" s="14"/>
      <c r="C66" s="14"/>
      <c r="D66" s="14"/>
      <c r="E66" s="4"/>
      <c r="F66" s="4"/>
      <c r="G66" s="80" t="s">
        <v>250</v>
      </c>
      <c r="H66" s="4">
        <v>1100</v>
      </c>
      <c r="I66" s="12">
        <f t="shared" si="11"/>
        <v>95.582999999999984</v>
      </c>
      <c r="J66" s="181" t="s">
        <v>229</v>
      </c>
      <c r="K66" s="4">
        <v>45.3</v>
      </c>
      <c r="L66" s="88" t="s">
        <v>150</v>
      </c>
      <c r="M66" s="309"/>
      <c r="N66" s="4"/>
      <c r="O66" s="4"/>
      <c r="P66" s="4"/>
      <c r="Q66" s="4"/>
      <c r="R66" s="4"/>
      <c r="S66" s="4"/>
      <c r="T66" s="4"/>
      <c r="U66" s="4"/>
    </row>
    <row r="67" spans="1:22" x14ac:dyDescent="0.2">
      <c r="A67" s="4"/>
      <c r="B67" s="14"/>
      <c r="C67" s="14"/>
      <c r="D67" s="14"/>
      <c r="E67" s="4"/>
      <c r="F67" s="4"/>
      <c r="G67" s="81" t="s">
        <v>250</v>
      </c>
      <c r="H67" s="77">
        <v>1200</v>
      </c>
      <c r="I67" s="83">
        <f t="shared" si="11"/>
        <v>107.61</v>
      </c>
      <c r="J67" s="87" t="s">
        <v>229</v>
      </c>
      <c r="K67" s="83">
        <v>51</v>
      </c>
      <c r="L67" s="89" t="s">
        <v>150</v>
      </c>
      <c r="M67" s="309"/>
      <c r="N67" s="4"/>
      <c r="O67" s="4"/>
      <c r="P67" s="4"/>
      <c r="Q67" s="4"/>
      <c r="R67" s="4"/>
      <c r="S67" s="4"/>
      <c r="T67" s="4"/>
      <c r="U67" s="4"/>
    </row>
    <row r="68" spans="1:22" x14ac:dyDescent="0.2">
      <c r="A68" s="4"/>
      <c r="B68" s="14"/>
      <c r="C68" s="14"/>
      <c r="D68" s="14"/>
      <c r="E68" s="4"/>
      <c r="F68" s="4"/>
      <c r="G68" s="4"/>
      <c r="H68" s="4"/>
      <c r="I68" s="4"/>
      <c r="J68" s="4"/>
      <c r="K68" s="4"/>
      <c r="L68" s="4"/>
      <c r="M68" s="309"/>
      <c r="N68" s="4"/>
      <c r="O68" s="4"/>
      <c r="P68" s="4"/>
      <c r="Q68" s="4"/>
      <c r="R68" s="5"/>
      <c r="S68" s="4"/>
      <c r="T68" s="4"/>
      <c r="U68" s="4"/>
    </row>
    <row r="69" spans="1:22" x14ac:dyDescent="0.2">
      <c r="A69" s="4"/>
      <c r="B69" s="14"/>
      <c r="C69" s="14"/>
      <c r="D69" s="14"/>
      <c r="E69" s="4"/>
      <c r="F69" s="4"/>
      <c r="G69" s="4"/>
      <c r="H69" s="4"/>
      <c r="I69" s="4"/>
      <c r="J69" s="4"/>
      <c r="K69" s="4"/>
      <c r="L69" s="4"/>
      <c r="M69" s="309"/>
      <c r="N69" s="4"/>
      <c r="O69" s="4"/>
      <c r="P69" s="4"/>
      <c r="Q69" s="4"/>
      <c r="R69" s="4"/>
      <c r="S69" s="4"/>
      <c r="T69" s="4"/>
      <c r="U69" s="4"/>
    </row>
    <row r="70" spans="1:22" x14ac:dyDescent="0.2">
      <c r="A70" s="193"/>
      <c r="B70" s="4"/>
      <c r="D70" s="14"/>
      <c r="E70" s="4"/>
      <c r="F70" s="4"/>
      <c r="G70" s="4"/>
      <c r="H70" s="4"/>
      <c r="I70" s="4"/>
      <c r="J70" s="4"/>
      <c r="K70" s="4"/>
      <c r="L70" s="4"/>
      <c r="M70" s="309"/>
      <c r="N70" s="4"/>
      <c r="O70" s="4"/>
      <c r="P70" s="4"/>
      <c r="Q70" s="4"/>
      <c r="R70" s="4"/>
      <c r="S70" s="4"/>
      <c r="T70" s="4"/>
      <c r="U70" s="4"/>
      <c r="V70" s="5"/>
    </row>
    <row r="71" spans="1:22" x14ac:dyDescent="0.2">
      <c r="A71" s="4"/>
      <c r="B71" s="14"/>
      <c r="C71" s="14"/>
      <c r="D71" s="14"/>
      <c r="E71" s="4"/>
      <c r="F71" s="4"/>
      <c r="G71" s="4"/>
      <c r="H71" s="4"/>
      <c r="I71" s="4"/>
      <c r="J71" s="4"/>
      <c r="K71" s="4"/>
      <c r="L71" s="4"/>
      <c r="M71" s="309"/>
      <c r="N71" s="4"/>
      <c r="O71" s="4"/>
      <c r="P71" s="4"/>
      <c r="Q71" s="4"/>
      <c r="R71" s="4"/>
      <c r="S71" s="4"/>
      <c r="T71" s="4"/>
      <c r="U71" s="4"/>
    </row>
    <row r="72" spans="1:22" x14ac:dyDescent="0.2">
      <c r="A72" s="4"/>
      <c r="B72" s="14"/>
      <c r="C72" s="14"/>
      <c r="D72" s="14"/>
      <c r="E72" s="4"/>
      <c r="F72" s="4"/>
      <c r="G72" s="4"/>
      <c r="H72" s="4"/>
      <c r="I72" s="4"/>
      <c r="J72" s="4"/>
      <c r="K72" s="4"/>
      <c r="L72" s="4"/>
      <c r="M72" s="309"/>
      <c r="N72" s="4"/>
      <c r="O72" s="4"/>
      <c r="P72" s="4"/>
      <c r="Q72" s="4"/>
      <c r="R72" s="4"/>
      <c r="S72" s="4"/>
      <c r="T72" s="4"/>
      <c r="U72" s="4"/>
    </row>
    <row r="73" spans="1:22" x14ac:dyDescent="0.2">
      <c r="A73" s="4"/>
      <c r="B73" s="14"/>
      <c r="C73" s="14"/>
      <c r="D73" s="14"/>
      <c r="E73" s="4"/>
      <c r="F73" s="4"/>
      <c r="G73" s="4"/>
      <c r="H73" s="4"/>
      <c r="I73" s="4"/>
      <c r="J73" s="4"/>
      <c r="K73" s="4"/>
      <c r="L73" s="4"/>
      <c r="M73" s="309"/>
      <c r="N73" s="4"/>
      <c r="O73" s="4"/>
      <c r="P73" s="4"/>
      <c r="Q73" s="4"/>
      <c r="R73" s="4"/>
      <c r="S73" s="4"/>
      <c r="T73" s="4"/>
      <c r="U73" s="4"/>
    </row>
    <row r="74" spans="1:22" x14ac:dyDescent="0.2">
      <c r="A74" s="4"/>
      <c r="B74" s="14"/>
      <c r="C74" s="14"/>
      <c r="D74" s="14"/>
      <c r="E74" s="4"/>
      <c r="F74" s="4"/>
      <c r="G74" s="4"/>
      <c r="H74" s="4"/>
      <c r="I74" s="4"/>
      <c r="J74" s="4"/>
      <c r="K74" s="4"/>
      <c r="L74" s="4"/>
      <c r="M74" s="309"/>
      <c r="N74" s="4"/>
      <c r="O74" s="4"/>
      <c r="P74" s="4"/>
      <c r="Q74" s="4"/>
      <c r="R74" s="4"/>
      <c r="S74" s="4"/>
      <c r="T74" s="4"/>
      <c r="U74" s="4"/>
    </row>
    <row r="75" spans="1:22" x14ac:dyDescent="0.2">
      <c r="A75" s="4"/>
      <c r="B75" s="14"/>
      <c r="C75" s="14"/>
      <c r="D75" s="14"/>
      <c r="E75" s="4"/>
      <c r="F75" s="4"/>
      <c r="G75" s="4"/>
      <c r="H75" s="4"/>
      <c r="I75" s="4"/>
      <c r="J75" s="4"/>
      <c r="K75" s="4"/>
      <c r="L75" s="4"/>
      <c r="M75" s="309"/>
      <c r="N75" s="4"/>
      <c r="O75" s="4"/>
      <c r="P75" s="4"/>
      <c r="Q75" s="4"/>
      <c r="R75" s="4"/>
      <c r="S75" s="4"/>
      <c r="T75" s="4"/>
      <c r="U75" s="4"/>
    </row>
    <row r="76" spans="1:22" x14ac:dyDescent="0.2">
      <c r="A76" s="4"/>
      <c r="B76" s="14"/>
      <c r="C76" s="14"/>
      <c r="D76" s="14"/>
      <c r="E76" s="4"/>
      <c r="F76" s="4"/>
      <c r="G76" s="4"/>
      <c r="H76" s="4"/>
      <c r="I76" s="4"/>
      <c r="J76" s="4"/>
      <c r="K76" s="4"/>
      <c r="L76" s="4"/>
      <c r="M76" s="309"/>
      <c r="N76" s="4"/>
      <c r="O76" s="4"/>
      <c r="P76" s="4"/>
      <c r="Q76" s="4"/>
      <c r="R76" s="4"/>
      <c r="S76" s="4"/>
      <c r="T76" s="4"/>
      <c r="U76" s="4"/>
    </row>
    <row r="77" spans="1:22" ht="14.25" customHeight="1" x14ac:dyDescent="0.2">
      <c r="A77" s="4"/>
      <c r="B77" s="14"/>
      <c r="C77" s="14"/>
      <c r="D77" s="14"/>
      <c r="E77" s="4"/>
      <c r="F77" s="4"/>
      <c r="G77" s="4"/>
      <c r="H77" s="4"/>
      <c r="I77" s="4"/>
      <c r="J77" s="4"/>
      <c r="K77" s="4"/>
      <c r="L77" s="4"/>
      <c r="M77" s="309"/>
      <c r="N77" s="4"/>
      <c r="O77" s="4"/>
      <c r="P77" s="4"/>
      <c r="Q77" s="4"/>
      <c r="R77" s="4"/>
      <c r="S77" s="4"/>
      <c r="T77" s="4"/>
      <c r="U77" s="4"/>
    </row>
    <row r="78" spans="1:22" x14ac:dyDescent="0.2">
      <c r="A78" s="4"/>
      <c r="B78" s="14"/>
      <c r="C78" s="14"/>
      <c r="D78" s="14"/>
      <c r="E78" s="4"/>
      <c r="F78" s="4"/>
      <c r="G78" s="4"/>
      <c r="H78" s="4"/>
      <c r="I78" s="4"/>
      <c r="J78" s="4"/>
      <c r="K78" s="4"/>
      <c r="L78" s="4"/>
      <c r="M78" s="309"/>
      <c r="N78" s="4"/>
      <c r="O78" s="4"/>
      <c r="P78" s="4"/>
      <c r="Q78" s="4"/>
      <c r="R78" s="4"/>
      <c r="S78" s="4"/>
      <c r="T78" s="4"/>
      <c r="U78" s="4"/>
    </row>
  </sheetData>
  <sheetProtection algorithmName="SHA-512" hashValue="qjKA0U+Slcv/I+7A1H8SU9NLZZ0qeqmCl08oBSKZTbLgmHqrw/PVJ9jep0dfMNyt0FnjkqJdpktJQzjQZaqq8A==" saltValue="hZ5dAhj1hr1VKxRwK9A7iw==" spinCount="100000" sheet="1" selectLockedCells="1"/>
  <mergeCells count="4">
    <mergeCell ref="I1:J1"/>
    <mergeCell ref="K1:L1"/>
    <mergeCell ref="Q1:R1"/>
    <mergeCell ref="S1:T1"/>
  </mergeCells>
  <hyperlinks>
    <hyperlink ref="M4" r:id="rId1" display="https://www.pipelife.no/content/dam/pipelife/norway/marketing/general/r%C3%B8rh%C3%A5ndboka/r%C3%B8rh%C3%A5ndboka2021/R-PE-tabeller.pdf" xr:uid="{2D5B8F15-6A02-4994-A3F1-8277C7021828}"/>
    <hyperlink ref="M27" r:id="rId2" display="https://www.gpa.no/Produkter/PVC-UPVC-CABS/PVC-U/Ror/Ror_PN10" xr:uid="{DCE757A7-64D4-4EF4-87FF-74AA83B421CC}"/>
    <hyperlink ref="M41" r:id="rId3" xr:uid="{4C511386-C390-4321-AD27-6AFC198AD6A7}"/>
    <hyperlink ref="M46" r:id="rId4" display="https://www.ahlsell.no/products/va-og-mark/stopejernsror/stopejernsror/2031127---dn150-duktiltror-1-kamret-c64-znal-400-gm--100-m-epoxy" xr:uid="{88F3CDB6-FD86-4532-B2E2-C48BC38B8085}"/>
    <hyperlink ref="M59" r:id="rId5" display="https://www.uponor.com/nb-no/infra/s/iq-blue-ror-300mm-3m-sn8-pp-dv-m-muffe-1134142" xr:uid="{804ACA08-3F61-4A88-8232-C8A26292EE27}"/>
    <hyperlink ref="M19" r:id="rId6" display="https://hallingplast.no/media/py2ds2mn/pp-grunnavloep-og-overvannsroer_hallingplast_produktdatablad.pdf" xr:uid="{0F0BAAF3-CDF5-4AB0-AA05-919E53D59D30}"/>
    <hyperlink ref="M34" r:id="rId7" display="https://www.nobi.no/betongprodukter-vann-og-avlop/ror-og-rordeler/basal-falsror/" xr:uid="{C1AB4695-B2DA-4C3D-B47C-4FC719021228}"/>
    <hyperlink ref="M53" r:id="rId8" display="https://www.ahlsell.no/products/vvs-teknisk/stalror-og-deler/rustfrie-ror/1802972---219.1x2.0-sveiset-ror-en1.4307-en10217-7-tc1-------kgm-10.87" xr:uid="{033CBBD5-34FB-42E8-AE8C-F63AA56B197F}"/>
    <hyperlink ref="M33" r:id="rId9" xr:uid="{42E6B662-967D-4D1A-9987-E050C9850F37}"/>
  </hyperlink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55EDF4-E78E-4C3D-8BC9-36FC8BA7F5FA}">
  <dimension ref="A1:P68"/>
  <sheetViews>
    <sheetView workbookViewId="0">
      <selection activeCell="K24" sqref="K24"/>
    </sheetView>
  </sheetViews>
  <sheetFormatPr defaultColWidth="9.14453125" defaultRowHeight="15" x14ac:dyDescent="0.2"/>
  <cols>
    <col min="1" max="1" width="37.125" style="1" customWidth="1"/>
    <col min="2" max="2" width="12.23828125" style="1" customWidth="1"/>
    <col min="3" max="3" width="19.90625" style="1" customWidth="1"/>
    <col min="4" max="4" width="20.84765625" style="1" customWidth="1"/>
    <col min="5" max="5" width="17.62109375" style="1" customWidth="1"/>
    <col min="6" max="6" width="14.52734375" style="1" bestFit="1" customWidth="1"/>
    <col min="7" max="7" width="18.29296875" style="1" bestFit="1" customWidth="1"/>
    <col min="8" max="16384" width="9.14453125" style="1"/>
  </cols>
  <sheetData>
    <row r="1" spans="1:5" x14ac:dyDescent="0.2">
      <c r="A1" s="57" t="s">
        <v>252</v>
      </c>
      <c r="B1" s="58" t="s">
        <v>39</v>
      </c>
      <c r="C1" s="221" t="s">
        <v>253</v>
      </c>
      <c r="E1" s="1" t="s">
        <v>254</v>
      </c>
    </row>
    <row r="2" spans="1:5" x14ac:dyDescent="0.2">
      <c r="A2" s="8" t="s">
        <v>255</v>
      </c>
      <c r="B2" s="1" t="s">
        <v>43</v>
      </c>
      <c r="C2" s="223">
        <v>206.70942500000004</v>
      </c>
      <c r="D2" s="239"/>
    </row>
    <row r="3" spans="1:5" x14ac:dyDescent="0.2">
      <c r="A3" s="8" t="s">
        <v>255</v>
      </c>
      <c r="B3" s="1" t="s">
        <v>57</v>
      </c>
      <c r="C3" s="223">
        <v>211.66938879999998</v>
      </c>
      <c r="D3" s="239"/>
    </row>
    <row r="4" spans="1:5" x14ac:dyDescent="0.2">
      <c r="A4" s="8" t="s">
        <v>256</v>
      </c>
      <c r="B4" s="1" t="s">
        <v>43</v>
      </c>
      <c r="C4" s="223">
        <v>127.374871</v>
      </c>
      <c r="D4" s="239"/>
    </row>
    <row r="5" spans="1:5" x14ac:dyDescent="0.2">
      <c r="A5" s="8" t="s">
        <v>256</v>
      </c>
      <c r="B5" s="1" t="s">
        <v>57</v>
      </c>
      <c r="C5" s="223">
        <v>91.80840959999999</v>
      </c>
      <c r="D5" s="239"/>
    </row>
    <row r="6" spans="1:5" x14ac:dyDescent="0.2">
      <c r="A6" s="8" t="s">
        <v>257</v>
      </c>
      <c r="B6" s="1" t="s">
        <v>43</v>
      </c>
      <c r="C6" s="223">
        <v>244.59743100000003</v>
      </c>
      <c r="D6" s="239"/>
    </row>
    <row r="7" spans="1:5" x14ac:dyDescent="0.2">
      <c r="A7" s="8" t="s">
        <v>257</v>
      </c>
      <c r="B7" s="1" t="s">
        <v>57</v>
      </c>
      <c r="C7" s="223">
        <v>859.379234</v>
      </c>
      <c r="D7" s="239"/>
    </row>
    <row r="8" spans="1:5" x14ac:dyDescent="0.2">
      <c r="A8" s="8" t="s">
        <v>258</v>
      </c>
      <c r="B8" s="1" t="s">
        <v>43</v>
      </c>
      <c r="C8" s="223">
        <v>312.94237000000004</v>
      </c>
      <c r="D8" s="239"/>
    </row>
    <row r="9" spans="1:5" x14ac:dyDescent="0.2">
      <c r="A9" s="10" t="s">
        <v>258</v>
      </c>
      <c r="B9" s="7" t="s">
        <v>57</v>
      </c>
      <c r="C9" s="224">
        <v>1277.7688846072726</v>
      </c>
      <c r="D9" s="239"/>
    </row>
    <row r="20" spans="1:16" x14ac:dyDescent="0.2">
      <c r="A20" s="57" t="s">
        <v>259</v>
      </c>
      <c r="B20" s="58" t="s">
        <v>39</v>
      </c>
      <c r="C20" s="220" t="s">
        <v>260</v>
      </c>
      <c r="D20" s="221" t="s">
        <v>261</v>
      </c>
      <c r="E20" s="288"/>
      <c r="F20" s="288"/>
      <c r="G20" s="288"/>
      <c r="H20" s="288"/>
      <c r="I20" s="288"/>
      <c r="J20" s="288"/>
      <c r="K20" s="288"/>
    </row>
    <row r="21" spans="1:16" x14ac:dyDescent="0.2">
      <c r="A21" s="8" t="s">
        <v>262</v>
      </c>
      <c r="B21" s="1" t="s">
        <v>69</v>
      </c>
      <c r="C21" s="93">
        <v>3.34</v>
      </c>
      <c r="D21" s="173"/>
      <c r="E21" s="305" t="s">
        <v>263</v>
      </c>
      <c r="F21" s="288"/>
      <c r="G21" s="288"/>
      <c r="H21" s="288"/>
      <c r="I21" s="288"/>
      <c r="J21" s="288"/>
      <c r="K21" s="288"/>
      <c r="N21" s="262"/>
    </row>
    <row r="22" spans="1:16" x14ac:dyDescent="0.2">
      <c r="A22" s="177" t="s">
        <v>264</v>
      </c>
      <c r="B22" s="1" t="s">
        <v>71</v>
      </c>
      <c r="C22" s="222"/>
      <c r="D22" s="173">
        <v>3650</v>
      </c>
      <c r="E22" s="307" t="s">
        <v>265</v>
      </c>
      <c r="F22" s="288"/>
      <c r="G22" s="288"/>
      <c r="H22" s="288"/>
      <c r="I22" s="288"/>
      <c r="J22" s="288"/>
      <c r="K22" s="288"/>
      <c r="N22" s="262"/>
    </row>
    <row r="23" spans="1:16" x14ac:dyDescent="0.2">
      <c r="A23" s="8" t="s">
        <v>266</v>
      </c>
      <c r="B23" s="1" t="s">
        <v>71</v>
      </c>
      <c r="C23" s="93"/>
      <c r="D23" s="173">
        <v>3540</v>
      </c>
      <c r="E23" s="307" t="s">
        <v>265</v>
      </c>
      <c r="F23" s="288"/>
      <c r="G23" s="288"/>
      <c r="H23" s="288"/>
      <c r="I23" s="288"/>
      <c r="J23" s="288"/>
      <c r="K23" s="288"/>
      <c r="N23" s="262"/>
    </row>
    <row r="24" spans="1:16" x14ac:dyDescent="0.2">
      <c r="A24" s="10" t="s">
        <v>267</v>
      </c>
      <c r="B24" s="7" t="s">
        <v>71</v>
      </c>
      <c r="C24" s="178"/>
      <c r="D24" s="174">
        <v>3320</v>
      </c>
      <c r="E24" s="307" t="s">
        <v>265</v>
      </c>
      <c r="F24" s="288"/>
      <c r="G24" s="288"/>
      <c r="H24" s="288"/>
      <c r="I24" s="288"/>
      <c r="J24" s="288"/>
      <c r="K24" s="288"/>
      <c r="N24" s="262"/>
    </row>
    <row r="27" spans="1:16" x14ac:dyDescent="0.2">
      <c r="A27" s="82" t="s">
        <v>39</v>
      </c>
      <c r="B27" s="100" t="s">
        <v>216</v>
      </c>
      <c r="C27" s="85" t="s">
        <v>141</v>
      </c>
      <c r="D27" s="86" t="s">
        <v>268</v>
      </c>
      <c r="E27" s="86" t="s">
        <v>269</v>
      </c>
      <c r="F27" s="101" t="s">
        <v>270</v>
      </c>
      <c r="G27" s="102" t="s">
        <v>271</v>
      </c>
      <c r="H27" s="288"/>
      <c r="I27" s="288"/>
      <c r="J27" s="288"/>
      <c r="K27" s="288"/>
      <c r="L27" s="288"/>
      <c r="M27" s="288"/>
      <c r="N27" s="288"/>
      <c r="O27" s="288"/>
      <c r="P27" s="288"/>
    </row>
    <row r="28" spans="1:16" x14ac:dyDescent="0.2">
      <c r="A28" s="8" t="s">
        <v>69</v>
      </c>
      <c r="B28" s="93">
        <v>150</v>
      </c>
      <c r="C28" s="93">
        <v>3.34</v>
      </c>
      <c r="D28" s="6">
        <v>3</v>
      </c>
      <c r="E28" s="93"/>
      <c r="F28" s="104"/>
      <c r="G28" s="88"/>
      <c r="H28" s="305" t="s">
        <v>263</v>
      </c>
      <c r="I28" s="288"/>
      <c r="J28" s="288"/>
      <c r="K28" s="288"/>
      <c r="L28" s="288"/>
      <c r="M28" s="288"/>
      <c r="N28" s="288"/>
      <c r="O28" s="288"/>
      <c r="P28" s="288"/>
    </row>
    <row r="29" spans="1:16" x14ac:dyDescent="0.2">
      <c r="A29" s="8" t="s">
        <v>69</v>
      </c>
      <c r="B29" s="93">
        <v>200</v>
      </c>
      <c r="C29" s="93">
        <v>3.34</v>
      </c>
      <c r="D29" s="6">
        <v>3.8</v>
      </c>
      <c r="E29" s="93"/>
      <c r="F29" s="104"/>
      <c r="G29" s="88"/>
    </row>
    <row r="30" spans="1:16" x14ac:dyDescent="0.2">
      <c r="A30" s="8" t="s">
        <v>69</v>
      </c>
      <c r="B30" s="93">
        <v>225</v>
      </c>
      <c r="C30" s="93">
        <v>3.34</v>
      </c>
      <c r="D30" s="6">
        <v>4.3</v>
      </c>
      <c r="E30" s="93"/>
      <c r="F30" s="104"/>
      <c r="G30" s="88"/>
    </row>
    <row r="31" spans="1:16" x14ac:dyDescent="0.2">
      <c r="A31" s="8" t="s">
        <v>69</v>
      </c>
      <c r="B31" s="93">
        <v>250</v>
      </c>
      <c r="C31" s="93">
        <v>3.34</v>
      </c>
      <c r="D31" s="6">
        <v>5.4</v>
      </c>
      <c r="E31" s="93"/>
      <c r="F31" s="104"/>
      <c r="G31" s="88"/>
    </row>
    <row r="32" spans="1:16" x14ac:dyDescent="0.2">
      <c r="A32" s="8" t="s">
        <v>69</v>
      </c>
      <c r="B32" s="93">
        <v>300</v>
      </c>
      <c r="C32" s="93">
        <v>3.34</v>
      </c>
      <c r="D32" s="6">
        <v>7.8</v>
      </c>
      <c r="E32" s="93"/>
      <c r="F32" s="104"/>
      <c r="G32" s="88"/>
    </row>
    <row r="33" spans="1:8" x14ac:dyDescent="0.2">
      <c r="A33" s="8" t="s">
        <v>69</v>
      </c>
      <c r="B33" s="93">
        <v>350</v>
      </c>
      <c r="C33" s="93">
        <v>3.34</v>
      </c>
      <c r="D33" s="6">
        <v>10.4</v>
      </c>
      <c r="E33" s="93"/>
      <c r="F33" s="104"/>
      <c r="G33" s="88"/>
    </row>
    <row r="34" spans="1:8" x14ac:dyDescent="0.2">
      <c r="A34" s="8" t="s">
        <v>69</v>
      </c>
      <c r="B34" s="93">
        <v>400</v>
      </c>
      <c r="C34" s="93">
        <v>3.34</v>
      </c>
      <c r="D34" s="6">
        <v>13</v>
      </c>
      <c r="E34" s="93"/>
      <c r="F34" s="104"/>
      <c r="G34" s="88"/>
    </row>
    <row r="35" spans="1:8" x14ac:dyDescent="0.2">
      <c r="A35" s="8" t="s">
        <v>69</v>
      </c>
      <c r="B35" s="93">
        <v>450</v>
      </c>
      <c r="C35" s="93">
        <v>3.34</v>
      </c>
      <c r="D35" s="6">
        <v>16</v>
      </c>
      <c r="E35" s="93"/>
      <c r="F35" s="104"/>
      <c r="G35" s="88"/>
    </row>
    <row r="36" spans="1:8" x14ac:dyDescent="0.2">
      <c r="A36" s="8" t="s">
        <v>69</v>
      </c>
      <c r="B36" s="93">
        <v>500</v>
      </c>
      <c r="C36" s="93">
        <v>3.34</v>
      </c>
      <c r="D36" s="6">
        <v>20</v>
      </c>
      <c r="E36" s="93"/>
      <c r="F36" s="104"/>
      <c r="G36" s="88"/>
    </row>
    <row r="37" spans="1:8" x14ac:dyDescent="0.2">
      <c r="A37" s="8" t="s">
        <v>69</v>
      </c>
      <c r="B37" s="93">
        <v>600</v>
      </c>
      <c r="C37" s="93">
        <v>3.34</v>
      </c>
      <c r="D37" s="6">
        <v>27.8</v>
      </c>
      <c r="E37" s="93"/>
      <c r="F37" s="104"/>
      <c r="G37" s="88"/>
    </row>
    <row r="38" spans="1:8" x14ac:dyDescent="0.2">
      <c r="A38" s="8" t="s">
        <v>69</v>
      </c>
      <c r="B38" s="93">
        <v>700</v>
      </c>
      <c r="C38" s="93">
        <v>3.34</v>
      </c>
      <c r="D38" s="6">
        <v>37</v>
      </c>
      <c r="E38" s="93"/>
      <c r="F38" s="104"/>
      <c r="G38" s="88"/>
    </row>
    <row r="39" spans="1:8" x14ac:dyDescent="0.2">
      <c r="A39" s="8" t="s">
        <v>69</v>
      </c>
      <c r="B39" s="93">
        <v>800</v>
      </c>
      <c r="C39" s="93">
        <v>3.34</v>
      </c>
      <c r="D39" s="6">
        <v>47.3</v>
      </c>
      <c r="E39" s="93"/>
      <c r="F39" s="104"/>
      <c r="G39" s="88"/>
    </row>
    <row r="40" spans="1:8" x14ac:dyDescent="0.2">
      <c r="A40" s="8" t="s">
        <v>69</v>
      </c>
      <c r="B40" s="93">
        <v>900</v>
      </c>
      <c r="C40" s="93">
        <v>3.34</v>
      </c>
      <c r="D40" s="6">
        <v>56.8</v>
      </c>
      <c r="E40" s="93"/>
      <c r="F40" s="104"/>
      <c r="G40" s="88"/>
    </row>
    <row r="41" spans="1:8" x14ac:dyDescent="0.2">
      <c r="A41" s="8" t="s">
        <v>69</v>
      </c>
      <c r="B41" s="93">
        <v>1000</v>
      </c>
      <c r="C41" s="93">
        <v>3.34</v>
      </c>
      <c r="D41" s="6">
        <v>61.5</v>
      </c>
      <c r="E41" s="93"/>
      <c r="F41" s="104"/>
      <c r="G41" s="88"/>
    </row>
    <row r="42" spans="1:8" x14ac:dyDescent="0.2">
      <c r="A42" s="8" t="s">
        <v>69</v>
      </c>
      <c r="B42" s="93">
        <v>1100</v>
      </c>
      <c r="C42" s="93">
        <v>3.34</v>
      </c>
      <c r="D42" s="6">
        <v>69.599999999999994</v>
      </c>
      <c r="E42" s="93"/>
      <c r="F42" s="104"/>
      <c r="G42" s="88"/>
    </row>
    <row r="43" spans="1:8" x14ac:dyDescent="0.2">
      <c r="A43" s="8" t="s">
        <v>69</v>
      </c>
      <c r="B43" s="93">
        <v>1200</v>
      </c>
      <c r="C43" s="93">
        <v>3.34</v>
      </c>
      <c r="D43" s="6">
        <v>80.400000000000006</v>
      </c>
      <c r="E43" s="93"/>
      <c r="F43" s="104"/>
      <c r="G43" s="88"/>
    </row>
    <row r="44" spans="1:8" x14ac:dyDescent="0.2">
      <c r="A44" s="8" t="s">
        <v>69</v>
      </c>
      <c r="B44" s="93">
        <v>1300</v>
      </c>
      <c r="C44" s="93">
        <v>3.34</v>
      </c>
      <c r="D44" s="6">
        <v>88.5</v>
      </c>
      <c r="E44" s="93"/>
      <c r="F44" s="104"/>
      <c r="G44" s="88"/>
    </row>
    <row r="45" spans="1:8" x14ac:dyDescent="0.2">
      <c r="A45" s="8" t="s">
        <v>69</v>
      </c>
      <c r="B45" s="93">
        <v>1400</v>
      </c>
      <c r="C45" s="93">
        <v>3.34</v>
      </c>
      <c r="D45" s="6">
        <v>99.6</v>
      </c>
      <c r="E45" s="93"/>
      <c r="F45" s="104"/>
      <c r="G45" s="88"/>
    </row>
    <row r="46" spans="1:8" x14ac:dyDescent="0.2">
      <c r="A46" s="8" t="s">
        <v>69</v>
      </c>
      <c r="B46" s="93">
        <v>1500</v>
      </c>
      <c r="C46" s="93">
        <v>3.34</v>
      </c>
      <c r="D46" s="6">
        <v>102.2</v>
      </c>
      <c r="E46" s="93"/>
      <c r="F46" s="104"/>
      <c r="G46" s="88"/>
    </row>
    <row r="47" spans="1:8" x14ac:dyDescent="0.2">
      <c r="A47" s="8" t="s">
        <v>69</v>
      </c>
      <c r="B47" s="93">
        <v>1600</v>
      </c>
      <c r="C47" s="93">
        <v>3.34</v>
      </c>
      <c r="D47" s="6">
        <v>112.7</v>
      </c>
      <c r="E47" s="93"/>
      <c r="F47" s="104"/>
      <c r="G47" s="88"/>
    </row>
    <row r="48" spans="1:8" x14ac:dyDescent="0.2">
      <c r="A48" s="8" t="s">
        <v>71</v>
      </c>
      <c r="B48" s="93">
        <v>150</v>
      </c>
      <c r="C48" s="93"/>
      <c r="D48" s="93"/>
      <c r="E48" s="93">
        <v>3650</v>
      </c>
      <c r="F48" s="93">
        <v>1353.3</v>
      </c>
      <c r="G48" s="173">
        <v>4.5</v>
      </c>
      <c r="H48" s="5" t="s">
        <v>265</v>
      </c>
    </row>
    <row r="49" spans="1:7" x14ac:dyDescent="0.2">
      <c r="A49" s="8" t="s">
        <v>71</v>
      </c>
      <c r="B49" s="93">
        <v>200</v>
      </c>
      <c r="C49" s="93"/>
      <c r="D49" s="93"/>
      <c r="E49" s="93">
        <v>3650</v>
      </c>
      <c r="F49" s="93">
        <v>1353.3</v>
      </c>
      <c r="G49" s="173">
        <v>4.5</v>
      </c>
    </row>
    <row r="50" spans="1:7" x14ac:dyDescent="0.2">
      <c r="A50" s="8" t="s">
        <v>71</v>
      </c>
      <c r="B50" s="93">
        <v>225</v>
      </c>
      <c r="C50" s="93"/>
      <c r="D50" s="93"/>
      <c r="E50" s="93">
        <v>3650</v>
      </c>
      <c r="F50" s="93">
        <v>1353.3</v>
      </c>
      <c r="G50" s="173">
        <v>4.5</v>
      </c>
    </row>
    <row r="51" spans="1:7" x14ac:dyDescent="0.2">
      <c r="A51" s="8" t="s">
        <v>71</v>
      </c>
      <c r="B51" s="93">
        <v>250</v>
      </c>
      <c r="C51" s="93"/>
      <c r="D51" s="93"/>
      <c r="E51" s="93">
        <v>3650</v>
      </c>
      <c r="F51" s="93">
        <v>1353.3</v>
      </c>
      <c r="G51" s="173">
        <v>4.5</v>
      </c>
    </row>
    <row r="52" spans="1:7" x14ac:dyDescent="0.2">
      <c r="A52" s="8" t="s">
        <v>71</v>
      </c>
      <c r="B52" s="93">
        <v>300</v>
      </c>
      <c r="C52" s="93"/>
      <c r="D52" s="93"/>
      <c r="E52" s="93">
        <v>3650</v>
      </c>
      <c r="F52" s="93">
        <v>1353.3</v>
      </c>
      <c r="G52" s="173">
        <v>4.5</v>
      </c>
    </row>
    <row r="53" spans="1:7" x14ac:dyDescent="0.2">
      <c r="A53" s="8" t="s">
        <v>71</v>
      </c>
      <c r="B53" s="93">
        <v>350</v>
      </c>
      <c r="C53" s="93"/>
      <c r="D53" s="93"/>
      <c r="E53" s="93">
        <v>3650</v>
      </c>
      <c r="F53" s="93">
        <v>1353.3</v>
      </c>
      <c r="G53" s="173">
        <v>4.5</v>
      </c>
    </row>
    <row r="54" spans="1:7" x14ac:dyDescent="0.2">
      <c r="A54" s="8" t="s">
        <v>71</v>
      </c>
      <c r="B54" s="93">
        <v>400</v>
      </c>
      <c r="D54" s="93"/>
      <c r="E54" s="93">
        <v>3650</v>
      </c>
      <c r="F54" s="93">
        <v>1353.3</v>
      </c>
      <c r="G54" s="173">
        <v>4.5</v>
      </c>
    </row>
    <row r="55" spans="1:7" x14ac:dyDescent="0.2">
      <c r="A55" s="8" t="s">
        <v>71</v>
      </c>
      <c r="B55" s="93">
        <v>450</v>
      </c>
      <c r="D55" s="93"/>
      <c r="E55" s="93">
        <v>3540</v>
      </c>
      <c r="F55" s="93">
        <v>1330.7</v>
      </c>
      <c r="G55" s="173">
        <v>12</v>
      </c>
    </row>
    <row r="56" spans="1:7" x14ac:dyDescent="0.2">
      <c r="A56" s="8" t="s">
        <v>71</v>
      </c>
      <c r="B56" s="93">
        <v>500</v>
      </c>
      <c r="D56" s="93"/>
      <c r="E56" s="93">
        <v>3540</v>
      </c>
      <c r="F56" s="93">
        <v>1330.7</v>
      </c>
      <c r="G56" s="173">
        <v>12</v>
      </c>
    </row>
    <row r="57" spans="1:7" x14ac:dyDescent="0.2">
      <c r="A57" s="8" t="s">
        <v>71</v>
      </c>
      <c r="B57" s="93">
        <v>600</v>
      </c>
      <c r="D57" s="93"/>
      <c r="E57" s="93">
        <v>3540</v>
      </c>
      <c r="F57" s="93">
        <v>1330.7</v>
      </c>
      <c r="G57" s="173">
        <v>12</v>
      </c>
    </row>
    <row r="58" spans="1:7" x14ac:dyDescent="0.2">
      <c r="A58" s="8" t="s">
        <v>71</v>
      </c>
      <c r="B58" s="93">
        <v>700</v>
      </c>
      <c r="D58" s="93"/>
      <c r="E58" s="93">
        <v>3540</v>
      </c>
      <c r="F58" s="93">
        <v>1330.7</v>
      </c>
      <c r="G58" s="173">
        <v>12</v>
      </c>
    </row>
    <row r="59" spans="1:7" x14ac:dyDescent="0.2">
      <c r="A59" s="8" t="s">
        <v>71</v>
      </c>
      <c r="B59" s="93">
        <v>800</v>
      </c>
      <c r="D59" s="93"/>
      <c r="E59" s="93">
        <v>3540</v>
      </c>
      <c r="F59" s="93">
        <v>1330.7</v>
      </c>
      <c r="G59" s="173">
        <v>12</v>
      </c>
    </row>
    <row r="60" spans="1:7" x14ac:dyDescent="0.2">
      <c r="A60" s="8" t="s">
        <v>71</v>
      </c>
      <c r="B60" s="93">
        <v>900</v>
      </c>
      <c r="D60" s="93"/>
      <c r="E60" s="93">
        <v>3320</v>
      </c>
      <c r="F60" s="93">
        <v>1246.7</v>
      </c>
      <c r="G60" s="173">
        <v>30</v>
      </c>
    </row>
    <row r="61" spans="1:7" x14ac:dyDescent="0.2">
      <c r="A61" s="8" t="s">
        <v>71</v>
      </c>
      <c r="B61" s="93">
        <v>1000</v>
      </c>
      <c r="D61" s="93"/>
      <c r="E61" s="93">
        <v>3320</v>
      </c>
      <c r="F61" s="93">
        <v>1246.7</v>
      </c>
      <c r="G61" s="173">
        <v>30</v>
      </c>
    </row>
    <row r="62" spans="1:7" x14ac:dyDescent="0.2">
      <c r="A62" s="8" t="s">
        <v>71</v>
      </c>
      <c r="B62" s="93">
        <v>1100</v>
      </c>
      <c r="D62" s="93"/>
      <c r="E62" s="93">
        <v>3320</v>
      </c>
      <c r="F62" s="93">
        <v>1246.7</v>
      </c>
      <c r="G62" s="173">
        <v>30</v>
      </c>
    </row>
    <row r="63" spans="1:7" x14ac:dyDescent="0.2">
      <c r="A63" s="8" t="s">
        <v>71</v>
      </c>
      <c r="B63" s="93">
        <v>1200</v>
      </c>
      <c r="D63" s="93"/>
      <c r="E63" s="93">
        <v>3320</v>
      </c>
      <c r="F63" s="93">
        <v>1246.7</v>
      </c>
      <c r="G63" s="173">
        <v>30</v>
      </c>
    </row>
    <row r="64" spans="1:7" x14ac:dyDescent="0.2">
      <c r="A64" s="8" t="s">
        <v>71</v>
      </c>
      <c r="B64" s="93">
        <v>1300</v>
      </c>
      <c r="D64" s="93"/>
      <c r="E64" s="93">
        <v>3320</v>
      </c>
      <c r="F64" s="93">
        <v>1246.7</v>
      </c>
      <c r="G64" s="173">
        <v>30</v>
      </c>
    </row>
    <row r="65" spans="1:7" x14ac:dyDescent="0.2">
      <c r="A65" s="8" t="s">
        <v>71</v>
      </c>
      <c r="B65" s="93">
        <v>1400</v>
      </c>
      <c r="D65" s="93"/>
      <c r="E65" s="93">
        <v>3320</v>
      </c>
      <c r="F65" s="93">
        <v>1246.7</v>
      </c>
      <c r="G65" s="173">
        <v>30</v>
      </c>
    </row>
    <row r="66" spans="1:7" x14ac:dyDescent="0.2">
      <c r="A66" s="8" t="s">
        <v>71</v>
      </c>
      <c r="B66" s="93">
        <v>1500</v>
      </c>
      <c r="D66" s="93"/>
      <c r="E66" s="93">
        <v>3320</v>
      </c>
      <c r="F66" s="93">
        <v>1246.7</v>
      </c>
      <c r="G66" s="173">
        <v>30</v>
      </c>
    </row>
    <row r="67" spans="1:7" x14ac:dyDescent="0.2">
      <c r="A67" s="10" t="s">
        <v>71</v>
      </c>
      <c r="B67" s="178">
        <v>1600</v>
      </c>
      <c r="C67" s="7"/>
      <c r="D67" s="178"/>
      <c r="E67" s="178">
        <v>3320</v>
      </c>
      <c r="F67" s="178">
        <v>1246.7</v>
      </c>
      <c r="G67" s="174">
        <v>30</v>
      </c>
    </row>
    <row r="68" spans="1:7" x14ac:dyDescent="0.2">
      <c r="B68" s="93"/>
      <c r="D68" s="93"/>
    </row>
  </sheetData>
  <sheetProtection algorithmName="SHA-512" hashValue="/MIOppCBQRwC9YMEZrz4Drnl+s84aifjL24dqGcpConlmZ4xUmSUZdRfPlbSBiaxSSBpc+Y8/NKG529Bhd4EVA==" saltValue="3YCzK+kguWdx1wWpx6glyw==" spinCount="100000" sheet="1" objects="1" scenarios="1" selectLockedCells="1"/>
  <hyperlinks>
    <hyperlink ref="E21" r:id="rId1" xr:uid="{68466FF5-AB0D-44F6-8552-AC6815175882}"/>
    <hyperlink ref="E22" r:id="rId2" xr:uid="{42AFBD6A-92E5-4FB5-BE3B-427603180746}"/>
    <hyperlink ref="E23:E24" r:id="rId3" display="https://www.epddanmark.dk/media/1vefhpw0/md-23008-en.pdf" xr:uid="{1D953AD5-9C36-4189-AFAD-EAC0F3C0E306}"/>
    <hyperlink ref="H48" r:id="rId4" xr:uid="{C191BE78-EB2A-42E8-9CD3-AF7AC64806A1}"/>
    <hyperlink ref="H28" r:id="rId5" xr:uid="{14EF42C2-3BED-4263-B9B9-C830FEDE0787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A739FE704F80C14DA225DF2A1DC23842" ma:contentTypeVersion="27" ma:contentTypeDescription="Opprett et nytt dokument." ma:contentTypeScope="" ma:versionID="3a88a0b987e57efbddc571eb1ba684aa">
  <xsd:schema xmlns:xsd="http://www.w3.org/2001/XMLSchema" xmlns:xs="http://www.w3.org/2001/XMLSchema" xmlns:p="http://schemas.microsoft.com/office/2006/metadata/properties" xmlns:ns2="5371e8e2-a9e8-46df-a91b-761db99c8728" xmlns:ns3="7bfd8652-9f54-45a4-9684-efa1596a6182" xmlns:ns4="adbb2028-43e6-4cc2-a67b-7a6125cf5ee2" xmlns:ns5="82b74a00-43a6-4076-ac55-a30bded87187" targetNamespace="http://schemas.microsoft.com/office/2006/metadata/properties" ma:root="true" ma:fieldsID="5bd020c3ca39bcbe280da230180a79a3" ns2:_="" ns3:_="" ns4:_="" ns5:_="">
    <xsd:import namespace="5371e8e2-a9e8-46df-a91b-761db99c8728"/>
    <xsd:import namespace="7bfd8652-9f54-45a4-9684-efa1596a6182"/>
    <xsd:import namespace="adbb2028-43e6-4cc2-a67b-7a6125cf5ee2"/>
    <xsd:import namespace="82b74a00-43a6-4076-ac55-a30bded8718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4:MediaLengthInSeconds" minOccurs="0"/>
                <xsd:element ref="ns4:Tekstansvarlig" minOccurs="0"/>
                <xsd:element ref="ns4:Kontrollansvarli" minOccurs="0"/>
                <xsd:element ref="ns4:Godkjenner" minOccurs="0"/>
                <xsd:element ref="ns4:Status" minOccurs="0"/>
                <xsd:element ref="ns4:Emne" minOccurs="0"/>
                <xsd:element ref="ns4:Funksjon" minOccurs="0"/>
                <xsd:element ref="ns4:Niv_x00e5_" minOccurs="0"/>
                <xsd:element ref="ns4:Fase" minOccurs="0"/>
                <xsd:element ref="ns4:Revisjonsbehov" minOccurs="0"/>
                <xsd:element ref="ns4:lcf76f155ced4ddcb4097134ff3c332f" minOccurs="0"/>
                <xsd:element ref="ns5:TaxCatchAll" minOccurs="0"/>
                <xsd:element ref="ns4:MediaServiceObjectDetectorVersions" minOccurs="0"/>
                <xsd:element ref="ns4:MediaServiceSearchProperties" minOccurs="0"/>
                <xsd:element ref="ns4:Kategori" minOccurs="0"/>
                <xsd:element ref="ns4:Fagansvarlig" minOccurs="0"/>
                <xsd:element ref="ns4:Eksempelskriver" minOccurs="0"/>
                <xsd:element ref="ns4:Vedlikehold" minOccurs="0"/>
                <xsd:element ref="ns4:Publisert" minOccurs="0"/>
                <xsd:element ref="ns4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71e8e2-a9e8-46df-a91b-761db99c872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bfd8652-9f54-45a4-9684-efa1596a6182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Delingsdetaljer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bb2028-43e6-4cc2-a67b-7a6125cf5ee2" elementFormDefault="qualified">
    <xsd:import namespace="http://schemas.microsoft.com/office/2006/documentManagement/types"/>
    <xsd:import namespace="http://schemas.microsoft.com/office/infopath/2007/PartnerControls"/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Tekstansvarlig" ma:index="20" nillable="true" ma:displayName="Tekstansvarlig" ma:description="Den som redigerer utkast" ma:format="Dropdown" ma:list="UserInfo" ma:SharePointGroup="0" ma:internalName="Tekstansvarlig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Kontrollansvarli" ma:index="21" nillable="true" ma:displayName="Kontrollansvarli" ma:description="Den som kvalitetssikrer tekstutkastet. Må være en annen enn tekstansvarlig." ma:format="Dropdown" ma:list="UserInfo" ma:SharePointGroup="0" ma:internalName="Kontrollansvarli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Godkjenner" ma:index="22" nillable="true" ma:displayName="Godkjenner" ma:description="Den som godkjenner etter KS. Kan være samme som ansvarlig for tekst eller kontroll, men ikke begge." ma:format="Dropdown" ma:list="UserInfo" ma:SharePointGroup="0" ma:internalName="Godkjen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tatus" ma:index="23" nillable="true" ma:displayName="Status" ma:default="Ikke påbegynt" ma:description="Hvor langt har man kommet med teksten" ma:format="RadioButtons" ma:internalName="Status">
      <xsd:simpleType>
        <xsd:restriction base="dms:Choice">
          <xsd:enumeration value="Ikke påbegynt"/>
          <xsd:enumeration value="Under arbeid"/>
          <xsd:enumeration value="Til KS"/>
          <xsd:enumeration value="Til Godkjenning"/>
          <xsd:enumeration value="Godkjent"/>
        </xsd:restriction>
      </xsd:simpleType>
    </xsd:element>
    <xsd:element name="Emne" ma:index="24" nillable="true" ma:displayName="Emne" ma:description="Kategori i kriteriveiviseren 1.0" ma:format="Dropdown" ma:internalName="Emn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Energi"/>
                    <xsd:enumeration value="Inneklima"/>
                    <xsd:enumeration value="Ledelse"/>
                    <xsd:enumeration value="LCC"/>
                    <xsd:enumeration value="Materialer"/>
                    <xsd:enumeration value="Rigg og drift"/>
                    <xsd:enumeration value="Transport"/>
                    <xsd:enumeration value="Utslipp fra byggeplass"/>
                    <xsd:enumeration value="Økologi og overvann"/>
                    <xsd:enumeration value="Menneskerettigheter"/>
                  </xsd:restriction>
                </xsd:simpleType>
              </xsd:element>
            </xsd:sequence>
          </xsd:extension>
        </xsd:complexContent>
      </xsd:complexType>
    </xsd:element>
    <xsd:element name="Funksjon" ma:index="25" nillable="true" ma:displayName="Funksjon" ma:description="Funksjon i anskaffelsesprosessen" ma:format="Dropdown" ma:internalName="Funksjon">
      <xsd:simpleType>
        <xsd:restriction base="dms:Choice">
          <xsd:enumeration value="Teknisk spesifikasjon"/>
          <xsd:enumeration value="Kvalifikasjon"/>
          <xsd:enumeration value="Tildeling"/>
          <xsd:enumeration value="Kontraktskrav"/>
        </xsd:restriction>
      </xsd:simpleType>
    </xsd:element>
    <xsd:element name="Niv_x00e5_" ma:index="26" nillable="true" ma:displayName="Nivå" ma:default="Basis" ma:description="Bærekraftsambisjoner" ma:format="Dropdown" ma:internalName="Niv_x00e5_">
      <xsd:simpleType>
        <xsd:restriction base="dms:Choice">
          <xsd:enumeration value="Avansert"/>
          <xsd:enumeration value="Basis"/>
          <xsd:enumeration value="Spydspiss"/>
        </xsd:restriction>
      </xsd:simpleType>
    </xsd:element>
    <xsd:element name="Fase" ma:index="27" nillable="true" ma:displayName="Fase" ma:format="Dropdown" ma:internalName="Fas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Prosjektering"/>
                    <xsd:enumeration value="Totalentreprise"/>
                  </xsd:restriction>
                </xsd:simpleType>
              </xsd:element>
            </xsd:sequence>
          </xsd:extension>
        </xsd:complexContent>
      </xsd:complexType>
    </xsd:element>
    <xsd:element name="Revisjonsbehov" ma:index="28" nillable="true" ma:displayName="Revisjonsbehov" ma:format="Dropdown" ma:internalName="Revisjonsbehov">
      <xsd:simpleType>
        <xsd:restriction base="dms:Choice">
          <xsd:enumeration value="Beholdes uten endringer"/>
          <xsd:enumeration value="Må endres"/>
          <xsd:enumeration value="Slettes"/>
          <xsd:enumeration value="Nytt krav"/>
          <xsd:enumeration value="Fjernes / oppdateres etter Q4"/>
        </xsd:restriction>
      </xsd:simpleType>
    </xsd:element>
    <xsd:element name="lcf76f155ced4ddcb4097134ff3c332f" ma:index="30" nillable="true" ma:taxonomy="true" ma:internalName="lcf76f155ced4ddcb4097134ff3c332f" ma:taxonomyFieldName="MediaServiceImageTags" ma:displayName="Bildemerkelapper" ma:readOnly="false" ma:fieldId="{5cf76f15-5ced-4ddc-b409-7134ff3c332f}" ma:taxonomyMulti="true" ma:sspId="eb0be57b-a27d-473a-a780-396a8013085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3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3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Kategori" ma:index="34" nillable="true" ma:displayName="Kategori" ma:format="Dropdown" ma:internalName="Kategori">
      <xsd:simpleType>
        <xsd:restriction base="dms:Choice">
          <xsd:enumeration value="Avfallsinnsamling"/>
          <xsd:enumeration value="Bygg anlegg og eiendom"/>
          <xsd:enumeration value="Helse og omsorg"/>
          <xsd:enumeration value="IKT og elektronikk"/>
          <xsd:enumeration value="Mat og måltid"/>
          <xsd:enumeration value="Møbler"/>
          <xsd:enumeration value="Rådgivningstjenester"/>
          <xsd:enumeration value="Renhold"/>
          <xsd:enumeration value="Tekstil"/>
          <xsd:enumeration value="Transport"/>
        </xsd:restriction>
      </xsd:simpleType>
    </xsd:element>
    <xsd:element name="Fagansvarlig" ma:index="35" nillable="true" ma:displayName="Fagansvarlig" ma:format="Dropdown" ma:internalName="Fagansvarlig">
      <xsd:simpleType>
        <xsd:restriction base="dms:Text">
          <xsd:maxLength value="255"/>
        </xsd:restriction>
      </xsd:simpleType>
    </xsd:element>
    <xsd:element name="Eksempelskriver" ma:index="36" nillable="true" ma:displayName="Eksempelskriver" ma:format="Dropdown" ma:list="UserInfo" ma:SharePointGroup="0" ma:internalName="Eksempelskriv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Vedlikehold" ma:index="37" nillable="true" ma:displayName="Vedlikehold" ma:format="DateOnly" ma:internalName="Vedlikehold">
      <xsd:simpleType>
        <xsd:restriction base="dms:DateTime"/>
      </xsd:simpleType>
    </xsd:element>
    <xsd:element name="Publisert" ma:index="38" nillable="true" ma:displayName="Publisert" ma:format="DateOnly" ma:internalName="Publisert">
      <xsd:simpleType>
        <xsd:restriction base="dms:DateTime"/>
      </xsd:simpleType>
    </xsd:element>
    <xsd:element name="MediaServiceBillingMetadata" ma:index="39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2b74a00-43a6-4076-ac55-a30bded87187" elementFormDefault="qualified">
    <xsd:import namespace="http://schemas.microsoft.com/office/2006/documentManagement/types"/>
    <xsd:import namespace="http://schemas.microsoft.com/office/infopath/2007/PartnerControls"/>
    <xsd:element name="TaxCatchAll" ma:index="31" nillable="true" ma:displayName="Taxonomy Catch All Column" ma:hidden="true" ma:list="{0529d230-0ab2-4853-b0ca-7c1faee354f2}" ma:internalName="TaxCatchAll" ma:showField="CatchAllData" ma:web="82b74a00-43a6-4076-ac55-a30bded8718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2b74a00-43a6-4076-ac55-a30bded87187" xsi:nil="true"/>
    <lcf76f155ced4ddcb4097134ff3c332f xmlns="adbb2028-43e6-4cc2-a67b-7a6125cf5ee2">
      <Terms xmlns="http://schemas.microsoft.com/office/infopath/2007/PartnerControls"/>
    </lcf76f155ced4ddcb4097134ff3c332f>
    <Niv_x00e5_ xmlns="adbb2028-43e6-4cc2-a67b-7a6125cf5ee2">Basis</Niv_x00e5_>
    <Fase xmlns="adbb2028-43e6-4cc2-a67b-7a6125cf5ee2" xsi:nil="true"/>
    <Vedlikehold xmlns="adbb2028-43e6-4cc2-a67b-7a6125cf5ee2" xsi:nil="true"/>
    <Tekstansvarlig xmlns="adbb2028-43e6-4cc2-a67b-7a6125cf5ee2">
      <UserInfo>
        <DisplayName/>
        <AccountId xsi:nil="true"/>
        <AccountType/>
      </UserInfo>
    </Tekstansvarlig>
    <Funksjon xmlns="adbb2028-43e6-4cc2-a67b-7a6125cf5ee2" xsi:nil="true"/>
    <Status xmlns="adbb2028-43e6-4cc2-a67b-7a6125cf5ee2">Ikke påbegynt</Status>
    <Godkjenner xmlns="adbb2028-43e6-4cc2-a67b-7a6125cf5ee2">
      <UserInfo>
        <DisplayName/>
        <AccountId xsi:nil="true"/>
        <AccountType/>
      </UserInfo>
    </Godkjenner>
    <Kategori xmlns="adbb2028-43e6-4cc2-a67b-7a6125cf5ee2" xsi:nil="true"/>
    <Fagansvarlig xmlns="adbb2028-43e6-4cc2-a67b-7a6125cf5ee2" xsi:nil="true"/>
    <Publisert xmlns="adbb2028-43e6-4cc2-a67b-7a6125cf5ee2" xsi:nil="true"/>
    <Kontrollansvarli xmlns="adbb2028-43e6-4cc2-a67b-7a6125cf5ee2">
      <UserInfo>
        <DisplayName/>
        <AccountId xsi:nil="true"/>
        <AccountType/>
      </UserInfo>
    </Kontrollansvarli>
    <Revisjonsbehov xmlns="adbb2028-43e6-4cc2-a67b-7a6125cf5ee2" xsi:nil="true"/>
    <Emne xmlns="adbb2028-43e6-4cc2-a67b-7a6125cf5ee2" xsi:nil="true"/>
    <Eksempelskriver xmlns="adbb2028-43e6-4cc2-a67b-7a6125cf5ee2">
      <UserInfo>
        <DisplayName/>
        <AccountId xsi:nil="true"/>
        <AccountType/>
      </UserInfo>
    </Eksempelskriver>
  </documentManagement>
</p:properties>
</file>

<file path=customXml/itemProps1.xml><?xml version="1.0" encoding="utf-8"?>
<ds:datastoreItem xmlns:ds="http://schemas.openxmlformats.org/officeDocument/2006/customXml" ds:itemID="{E9A0B084-E723-46BB-B79F-2F91CAD98B3D}"/>
</file>

<file path=customXml/itemProps2.xml><?xml version="1.0" encoding="utf-8"?>
<ds:datastoreItem xmlns:ds="http://schemas.openxmlformats.org/officeDocument/2006/customXml" ds:itemID="{9EDB95CA-B3AA-44ED-839A-B10E14ED2F6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42E52D1-C050-4AD9-8C5E-7D6D4391AF5C}">
  <ds:schemaRefs>
    <ds:schemaRef ds:uri="http://schemas.microsoft.com/office/2006/metadata/properties"/>
    <ds:schemaRef ds:uri="http://www.w3.org/2000/xmlns/"/>
    <ds:schemaRef ds:uri="790cd76a-845b-4aff-8ad1-b44e11c2b128"/>
    <ds:schemaRef ds:uri="http://www.w3.org/2001/XMLSchema-instance"/>
    <ds:schemaRef ds:uri="ca0d2b24-2730-4948-82be-64b730bab3a7"/>
    <ds:schemaRef ds:uri="http://schemas.microsoft.com/office/infopath/2007/PartnerControls"/>
    <ds:schemaRef ds:uri="http://schemas.microsoft.com/sharepoint/v3"/>
  </ds:schemaRefs>
</ds:datastoreItem>
</file>

<file path=docMetadata/LabelInfo.xml><?xml version="1.0" encoding="utf-8"?>
<clbl:labelList xmlns:clbl="http://schemas.microsoft.com/office/2020/mipLabelMetadata">
  <clbl:label id="{3b0dbd86-5745-40a9-ba1b-2106487af946}" enabled="0" method="" siteId="{3b0dbd86-5745-40a9-ba1b-2106487af946}" removed="1"/>
  <clbl:label id="{ce25ca93-004f-44f4-a6b5-eb22b45815aa}" enabled="0" method="" siteId="{ce25ca93-004f-44f4-a6b5-eb22b45815aa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Excel iOS</Application>
  <DocSecurity>0</DocSecurity>
  <ScaleCrop>false</ScaleCrop>
  <HeadingPairs>
    <vt:vector size="4" baseType="variant">
      <vt:variant>
        <vt:lpstr>Regneark</vt:lpstr>
      </vt:variant>
      <vt:variant>
        <vt:i4>10</vt:i4>
      </vt:variant>
      <vt:variant>
        <vt:lpstr>Navngitte områder</vt:lpstr>
      </vt:variant>
      <vt:variant>
        <vt:i4>5</vt:i4>
      </vt:variant>
    </vt:vector>
  </HeadingPairs>
  <TitlesOfParts>
    <vt:vector size="15" baseType="lpstr">
      <vt:lpstr>Forside</vt:lpstr>
      <vt:lpstr>Brukerveiledning</vt:lpstr>
      <vt:lpstr>INPUT</vt:lpstr>
      <vt:lpstr>Grøft med dieseldrevet utstyr</vt:lpstr>
      <vt:lpstr>Grøft med elektrisk utstyr</vt:lpstr>
      <vt:lpstr>NO-dig med blokking</vt:lpstr>
      <vt:lpstr>NO-dig med strømpe</vt:lpstr>
      <vt:lpstr>Rør spesifikasjoner</vt:lpstr>
      <vt:lpstr>Kummer og strømper</vt:lpstr>
      <vt:lpstr>Valg</vt:lpstr>
      <vt:lpstr>Dimensjoner_mat</vt:lpstr>
      <vt:lpstr>Materialer_dim</vt:lpstr>
      <vt:lpstr>NOdig</vt:lpstr>
      <vt:lpstr>Valg</vt:lpstr>
      <vt:lpstr>Åpen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Ingrid Meltveit Aarthun</dc:creator>
  <cp:keywords/>
  <dc:description/>
  <cp:lastModifiedBy>Ingvild Rydland</cp:lastModifiedBy>
  <cp:revision/>
  <cp:lastPrinted>2025-05-21T15:48:27Z</cp:lastPrinted>
  <dcterms:created xsi:type="dcterms:W3CDTF">2025-02-26T08:27:10Z</dcterms:created>
  <dcterms:modified xsi:type="dcterms:W3CDTF">2025-06-13T11:48:21Z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0x010100A739FE704F80C14DA225DF2A1DC23842</vt:lpwstr>
  </property>
  <property fmtid="{D5CDD505-2E9C-101B-9397-08002B2CF9AE}" pid="3" name="nocos_Company">
    <vt:lpwstr/>
  </property>
  <property fmtid="{D5CDD505-2E9C-101B-9397-08002B2CF9AE}" pid="4" name="nocos_Country">
    <vt:lpwstr/>
  </property>
  <property fmtid="{D5CDD505-2E9C-101B-9397-08002B2CF9AE}" pid="5" name="nocos_Country2e046c78d7b14a9987252de9d9e5a08e">
    <vt:lpwstr/>
  </property>
  <property fmtid="{D5CDD505-2E9C-101B-9397-08002B2CF9AE}" pid="6" name="nocos_ChangeDocumentType">
    <vt:lpwstr/>
  </property>
  <property fmtid="{D5CDD505-2E9C-101B-9397-08002B2CF9AE}" pid="7" name="g43693e65fee4fe6852021dad4189cbb">
    <vt:lpwstr/>
  </property>
  <property fmtid="{D5CDD505-2E9C-101B-9397-08002B2CF9AE}" pid="8" name="nocos_MeetingType">
    <vt:lpwstr/>
  </property>
  <property fmtid="{D5CDD505-2E9C-101B-9397-08002B2CF9AE}" pid="9" name="nocos_disciplineTerms">
    <vt:lpwstr/>
  </property>
  <property fmtid="{D5CDD505-2E9C-101B-9397-08002B2CF9AE}" pid="10" name="nocos_IsResultDocument">
    <vt:bool>false</vt:bool>
  </property>
  <property fmtid="{D5CDD505-2E9C-101B-9397-08002B2CF9AE}" pid="11" name="nocos_NorconsultLocation">
    <vt:lpwstr/>
  </property>
  <property fmtid="{D5CDD505-2E9C-101B-9397-08002B2CF9AE}" pid="12" name="b5d7e62e7ca94f11906fb431f9541c43">
    <vt:lpwstr/>
  </property>
  <property fmtid="{D5CDD505-2E9C-101B-9397-08002B2CF9AE}" pid="13" name="jacf4ecc7ddf413885578b5f90b4690c">
    <vt:lpwstr/>
  </property>
  <property fmtid="{D5CDD505-2E9C-101B-9397-08002B2CF9AE}" pid="14" name="MediaServiceImageTags">
    <vt:lpwstr/>
  </property>
</Properties>
</file>